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Coredata\Common\Camps\Camp Costs\"/>
    </mc:Choice>
  </mc:AlternateContent>
  <xr:revisionPtr revIDLastSave="0" documentId="13_ncr:1_{2D430C00-BF40-4EE1-9373-CBCE3E4ECF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mp Costing Calculator" sheetId="1" r:id="rId1"/>
    <sheet name="STATE school - Cost summary" sheetId="2" r:id="rId2"/>
    <sheet name="NON-STATE school - Cost summa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1" i="1" l="1"/>
  <c r="U61" i="1" s="1"/>
  <c r="S61" i="1"/>
  <c r="T60" i="1"/>
  <c r="U60" i="1" s="1"/>
  <c r="H5" i="1" l="1"/>
  <c r="D11" i="1" l="1"/>
  <c r="D77" i="1"/>
  <c r="L104" i="1" l="1"/>
  <c r="R27" i="1" l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E124" i="1" l="1"/>
  <c r="A26" i="3" l="1"/>
  <c r="A22" i="3"/>
  <c r="A18" i="3"/>
  <c r="A14" i="3"/>
  <c r="A10" i="3"/>
  <c r="D3" i="3"/>
  <c r="C3" i="3"/>
  <c r="B3" i="3"/>
  <c r="A3" i="3"/>
  <c r="D1" i="3"/>
  <c r="D1" i="2" l="1"/>
  <c r="D67" i="1" l="1"/>
  <c r="D47" i="1"/>
  <c r="E67" i="1"/>
  <c r="E11" i="1"/>
  <c r="D81" i="1"/>
  <c r="C77" i="1"/>
  <c r="E81" i="1"/>
  <c r="E47" i="1"/>
  <c r="A22" i="2" l="1"/>
  <c r="A19" i="2"/>
  <c r="A16" i="2"/>
  <c r="A13" i="2"/>
  <c r="C7" i="2"/>
  <c r="A10" i="2"/>
  <c r="C8" i="2"/>
  <c r="D3" i="2"/>
  <c r="C3" i="2"/>
  <c r="B3" i="2"/>
  <c r="A3" i="2"/>
  <c r="N103" i="1" l="1"/>
  <c r="M6" i="1" l="1"/>
  <c r="J6" i="1"/>
  <c r="I59" i="1" l="1"/>
  <c r="J61" i="1"/>
  <c r="F19" i="1"/>
  <c r="D31" i="1"/>
  <c r="D25" i="1"/>
  <c r="D43" i="1"/>
  <c r="D37" i="1"/>
  <c r="D32" i="3"/>
  <c r="E13" i="3" s="1"/>
  <c r="D33" i="3"/>
  <c r="E21" i="3" s="1"/>
  <c r="D35" i="3"/>
  <c r="E29" i="3" s="1"/>
  <c r="D31" i="3"/>
  <c r="E9" i="3" s="1"/>
  <c r="D34" i="3"/>
  <c r="E25" i="3" s="1"/>
  <c r="C4" i="3"/>
  <c r="D4" i="3"/>
  <c r="A4" i="3"/>
  <c r="A1" i="3"/>
  <c r="E1" i="3"/>
  <c r="A1" i="2"/>
  <c r="E1" i="2"/>
  <c r="D27" i="2"/>
  <c r="E12" i="2" s="1"/>
  <c r="D30" i="2"/>
  <c r="E24" i="2" s="1"/>
  <c r="D26" i="2"/>
  <c r="E9" i="2" s="1"/>
  <c r="D29" i="2"/>
  <c r="E21" i="2" s="1"/>
  <c r="D28" i="2"/>
  <c r="E18" i="2" s="1"/>
  <c r="C4" i="2"/>
  <c r="A4" i="2"/>
  <c r="D4" i="2"/>
  <c r="H19" i="1"/>
  <c r="G25" i="1"/>
  <c r="F31" i="1"/>
  <c r="E37" i="1"/>
  <c r="G43" i="1"/>
  <c r="G19" i="1"/>
  <c r="E31" i="1"/>
  <c r="H37" i="1"/>
  <c r="F25" i="1"/>
  <c r="H31" i="1"/>
  <c r="G37" i="1"/>
  <c r="F43" i="1"/>
  <c r="E25" i="1"/>
  <c r="H25" i="1"/>
  <c r="F37" i="1"/>
  <c r="E43" i="1"/>
  <c r="G31" i="1"/>
  <c r="E19" i="1"/>
  <c r="L81" i="1"/>
  <c r="L51" i="1"/>
  <c r="D16" i="3" s="1"/>
  <c r="D15" i="3" s="1"/>
  <c r="M61" i="1"/>
  <c r="I66" i="1" l="1"/>
  <c r="M67" i="1" s="1"/>
  <c r="L67" i="1" s="1"/>
  <c r="D23" i="2"/>
  <c r="D28" i="3"/>
  <c r="D27" i="3" s="1"/>
  <c r="D14" i="2"/>
  <c r="M124" i="1"/>
  <c r="E125" i="1"/>
  <c r="H75" i="1"/>
  <c r="D76" i="1"/>
  <c r="J59" i="1" l="1"/>
  <c r="J62" i="1"/>
  <c r="E45" i="3"/>
  <c r="E39" i="2"/>
  <c r="L77" i="1"/>
  <c r="L76" i="1"/>
  <c r="L75" i="1"/>
  <c r="D24" i="3" l="1"/>
  <c r="D23" i="3" s="1"/>
  <c r="D20" i="2"/>
  <c r="B4" i="3"/>
  <c r="B4" i="2"/>
  <c r="G6" i="1"/>
  <c r="F7" i="1" s="1"/>
  <c r="L10" i="1" l="1"/>
  <c r="D7" i="2" s="1"/>
  <c r="L11" i="1" l="1"/>
  <c r="M81" i="1"/>
  <c r="D8" i="3" l="1"/>
  <c r="D7" i="3" s="1"/>
  <c r="M11" i="1"/>
  <c r="E23" i="2"/>
  <c r="E28" i="3"/>
  <c r="E27" i="3" s="1"/>
  <c r="D8" i="2"/>
  <c r="M77" i="1"/>
  <c r="M51" i="1"/>
  <c r="E16" i="3" s="1"/>
  <c r="E15" i="3" s="1"/>
  <c r="M82" i="1"/>
  <c r="L19" i="1"/>
  <c r="M19" i="1" s="1"/>
  <c r="L43" i="1"/>
  <c r="M43" i="1" s="1"/>
  <c r="L25" i="1"/>
  <c r="M25" i="1" s="1"/>
  <c r="L37" i="1"/>
  <c r="M37" i="1" s="1"/>
  <c r="L31" i="1"/>
  <c r="M31" i="1" s="1"/>
  <c r="E8" i="3" l="1"/>
  <c r="E7" i="3" s="1"/>
  <c r="E20" i="2"/>
  <c r="E24" i="3"/>
  <c r="E23" i="3" s="1"/>
  <c r="E14" i="2"/>
  <c r="E8" i="2"/>
  <c r="M52" i="1"/>
  <c r="M78" i="1"/>
  <c r="M12" i="1"/>
  <c r="L47" i="1"/>
  <c r="D12" i="3" l="1"/>
  <c r="D11" i="3" s="1"/>
  <c r="D11" i="2"/>
  <c r="M47" i="1"/>
  <c r="E12" i="3" s="1"/>
  <c r="E11" i="3" s="1"/>
  <c r="E20" i="3"/>
  <c r="E19" i="3" s="1"/>
  <c r="E11" i="2" l="1"/>
  <c r="E17" i="2"/>
  <c r="M114" i="1"/>
  <c r="M68" i="1"/>
  <c r="D20" i="3"/>
  <c r="D19" i="3" s="1"/>
  <c r="M48" i="1"/>
  <c r="E39" i="3" l="1"/>
  <c r="E38" i="3" s="1"/>
  <c r="M115" i="1"/>
  <c r="D17" i="2"/>
  <c r="E33" i="2"/>
</calcChain>
</file>

<file path=xl/sharedStrings.xml><?xml version="1.0" encoding="utf-8"?>
<sst xmlns="http://schemas.openxmlformats.org/spreadsheetml/2006/main" count="248" uniqueCount="118">
  <si>
    <t>School</t>
  </si>
  <si>
    <t>State</t>
  </si>
  <si>
    <t>Non-state</t>
  </si>
  <si>
    <t>Camp Numbers</t>
  </si>
  <si>
    <t>Students</t>
  </si>
  <si>
    <t>Adults</t>
  </si>
  <si>
    <t>Duration</t>
  </si>
  <si>
    <t>Days</t>
  </si>
  <si>
    <t>Nights</t>
  </si>
  <si>
    <t>Accommodation or Day Trip</t>
  </si>
  <si>
    <t>/student</t>
  </si>
  <si>
    <t>/night</t>
  </si>
  <si>
    <t>total</t>
  </si>
  <si>
    <t>Meal Prices</t>
  </si>
  <si>
    <t>Day one</t>
  </si>
  <si>
    <t>Breakfast</t>
  </si>
  <si>
    <t>Morning
tea</t>
  </si>
  <si>
    <t>Lunch</t>
  </si>
  <si>
    <r>
      <rPr>
        <sz val="10"/>
        <color theme="1"/>
        <rFont val="Calibri"/>
        <family val="2"/>
        <scheme val="minor"/>
      </rPr>
      <t>Afternoon</t>
    </r>
    <r>
      <rPr>
        <sz val="11"/>
        <color theme="1"/>
        <rFont val="Calibri"/>
        <family val="2"/>
        <scheme val="minor"/>
      </rPr>
      <t xml:space="preserve"> 
tea</t>
    </r>
  </si>
  <si>
    <t>Dinner</t>
  </si>
  <si>
    <t>/person</t>
  </si>
  <si>
    <t>Day 1</t>
  </si>
  <si>
    <t>Day two</t>
  </si>
  <si>
    <t>Day three</t>
  </si>
  <si>
    <t>Day four</t>
  </si>
  <si>
    <t>Day five</t>
  </si>
  <si>
    <t>Day 2</t>
  </si>
  <si>
    <t>Day 3</t>
  </si>
  <si>
    <t>Day 4</t>
  </si>
  <si>
    <t>Day 5</t>
  </si>
  <si>
    <t>Group total</t>
  </si>
  <si>
    <t>T-Shirts</t>
  </si>
  <si>
    <t>Boating</t>
  </si>
  <si>
    <t>Total</t>
  </si>
  <si>
    <t>'x' →</t>
  </si>
  <si>
    <t>Climbing</t>
  </si>
  <si>
    <t>Low Climbing</t>
  </si>
  <si>
    <t>High Climbing</t>
  </si>
  <si>
    <t>Bouldering</t>
  </si>
  <si>
    <t>Low Climbing only</t>
  </si>
  <si>
    <t>High Climbing only</t>
  </si>
  <si>
    <t>Low &amp; High Climbing</t>
  </si>
  <si>
    <t>Low ropes</t>
  </si>
  <si>
    <t>Mohawk Walk</t>
  </si>
  <si>
    <t>Top Roping</t>
  </si>
  <si>
    <t>Faulty Towers</t>
  </si>
  <si>
    <t>(indicate meal choices with an 'x')</t>
  </si>
  <si>
    <r>
      <rPr>
        <sz val="10"/>
        <color theme="1"/>
        <rFont val="Calibri"/>
        <family val="2"/>
        <scheme val="minor"/>
      </rPr>
      <t xml:space="preserve">Number of </t>
    </r>
    <r>
      <rPr>
        <b/>
        <sz val="10"/>
        <color theme="1"/>
        <rFont val="Calibri"/>
        <family val="2"/>
        <scheme val="minor"/>
      </rPr>
      <t xml:space="preserve">students and adults </t>
    </r>
    <r>
      <rPr>
        <sz val="10"/>
        <color theme="1"/>
        <rFont val="Calibri"/>
        <family val="2"/>
        <scheme val="minor"/>
      </rPr>
      <t xml:space="preserve">
completing shirt activity</t>
    </r>
  </si>
  <si>
    <t>Photography</t>
  </si>
  <si>
    <r>
      <t xml:space="preserve">School Type 
</t>
    </r>
    <r>
      <rPr>
        <sz val="10"/>
        <color theme="1"/>
        <rFont val="Calibri"/>
        <family val="2"/>
        <scheme val="minor"/>
      </rPr>
      <t>(indicate with an 'x')</t>
    </r>
  </si>
  <si>
    <t>Yes</t>
  </si>
  <si>
    <t>Are students participating in the Photography lesson?</t>
  </si>
  <si>
    <t>(Indicate 'x' for any/all climbing choices below)</t>
  </si>
  <si>
    <t>(Indicate with an 'x')</t>
  </si>
  <si>
    <t>Catapults</t>
  </si>
  <si>
    <t>FREE OF CHARGE</t>
  </si>
  <si>
    <t>Challenges</t>
  </si>
  <si>
    <t>Farmyard</t>
  </si>
  <si>
    <t>Snake Talk</t>
  </si>
  <si>
    <t>Polly Creek</t>
  </si>
  <si>
    <t>(If boating, indicate ONE trip choice below with an 'x')</t>
  </si>
  <si>
    <t>Extra Costs</t>
  </si>
  <si>
    <t>Bus Hire</t>
  </si>
  <si>
    <t>Transportation costs for Boating and Polly Creek may vary depending on Program 
structure and group size. Please talk with DEEC staff for correct costings.</t>
  </si>
  <si>
    <t>2 adults FOC per boat trip. Any extra adults will be charged trip cost</t>
  </si>
  <si>
    <t xml:space="preserve"> 'x' →</t>
  </si>
  <si>
    <t>Total costs include student and adult costs. It is up to schools how these costs are distributed.</t>
  </si>
  <si>
    <t>Total payable to DEEC</t>
  </si>
  <si>
    <t>Total payable to other agencies</t>
  </si>
  <si>
    <t>Bus to/from school</t>
  </si>
  <si>
    <t>Group Total</t>
  </si>
  <si>
    <t>Minimum charge per trip</t>
  </si>
  <si>
    <t>Minimum charge Total</t>
  </si>
  <si>
    <t>If paying passengers per trip is below 14
 'Minimum charges' apply</t>
  </si>
  <si>
    <t>Number of boat
trips for your
group size</t>
  </si>
  <si>
    <t>Extra's total</t>
  </si>
  <si>
    <t>If paying passengers per boat trip = 14 or more</t>
  </si>
  <si>
    <t>Transportation to &amp; from Polly Ck is necessary (see 'Extra costs' below)</t>
  </si>
  <si>
    <t>Bus hire on camp</t>
  </si>
  <si>
    <t>Other</t>
  </si>
  <si>
    <t>Title</t>
  </si>
  <si>
    <t>Cost</t>
  </si>
  <si>
    <t>Comments</t>
  </si>
  <si>
    <t>Anomalies</t>
  </si>
  <si>
    <t>Accommodation/day</t>
  </si>
  <si>
    <t>Meals</t>
  </si>
  <si>
    <t>Complete this section only if Directed by DEEC</t>
  </si>
  <si>
    <t>Complete white boxes only</t>
  </si>
  <si>
    <r>
      <t xml:space="preserve">Total extra adults </t>
    </r>
    <r>
      <rPr>
        <b/>
        <sz val="11"/>
        <color theme="1"/>
        <rFont val="Calibri"/>
        <family val="2"/>
        <scheme val="minor"/>
      </rPr>
      <t>ALTOGETHER</t>
    </r>
    <r>
      <rPr>
        <sz val="11"/>
        <color theme="1"/>
        <rFont val="Calibri"/>
        <family val="2"/>
        <scheme val="minor"/>
      </rPr>
      <t xml:space="preserve"> across all boat trips</t>
    </r>
  </si>
  <si>
    <t>Total Payable to 
OTHER AGENCIES</t>
  </si>
  <si>
    <t>"Total payable to DEEC" includes student and adult costs. 
It is up to schools how these costs are distributed.</t>
  </si>
  <si>
    <t>25+</t>
  </si>
  <si>
    <t>15-24</t>
  </si>
  <si>
    <t>A/tea</t>
  </si>
  <si>
    <t>M/tea</t>
  </si>
  <si>
    <t>o/night</t>
  </si>
  <si>
    <t>day</t>
  </si>
  <si>
    <t>Min charge</t>
  </si>
  <si>
    <t>1 low</t>
  </si>
  <si>
    <t>2 low</t>
  </si>
  <si>
    <t>3 low</t>
  </si>
  <si>
    <t>1 high</t>
  </si>
  <si>
    <t>2 high</t>
  </si>
  <si>
    <t>1 high + lows</t>
  </si>
  <si>
    <t>2 high + lows</t>
  </si>
  <si>
    <t>GST inclusive</t>
  </si>
  <si>
    <t>GST exclusive</t>
  </si>
  <si>
    <t>ex GST</t>
  </si>
  <si>
    <t>inc GST</t>
  </si>
  <si>
    <t xml:space="preserve"> </t>
  </si>
  <si>
    <t>Accom. Or Day Trip</t>
  </si>
  <si>
    <t>These figures are included in Group Totals above</t>
  </si>
  <si>
    <r>
      <t xml:space="preserve">Ensure figures entered below are </t>
    </r>
    <r>
      <rPr>
        <b/>
        <u/>
        <sz val="10"/>
        <color theme="1"/>
        <rFont val="Calibri"/>
        <family val="2"/>
        <scheme val="minor"/>
      </rPr>
      <t>all GST inc.</t>
    </r>
    <r>
      <rPr>
        <b/>
        <sz val="10"/>
        <color theme="1"/>
        <rFont val="Calibri"/>
        <family val="2"/>
        <scheme val="minor"/>
      </rPr>
      <t xml:space="preserve">
Note: "Bus hire on camp" figure is GST inc.</t>
    </r>
  </si>
  <si>
    <t>Full River</t>
  </si>
  <si>
    <r>
      <rPr>
        <b/>
        <sz val="11"/>
        <color theme="1"/>
        <rFont val="Calibri"/>
        <family val="2"/>
        <scheme val="minor"/>
      </rPr>
      <t>Primary</t>
    </r>
    <r>
      <rPr>
        <sz val="11"/>
        <color theme="1"/>
        <rFont val="Calibri"/>
        <family val="2"/>
        <scheme val="minor"/>
      </rPr>
      <t xml:space="preserve"> Students 2024</t>
    </r>
  </si>
  <si>
    <r>
      <t xml:space="preserve">indicate with an 'x' </t>
    </r>
    <r>
      <rPr>
        <b/>
        <sz val="11"/>
        <color theme="1"/>
        <rFont val="Calibri"/>
        <family val="2"/>
      </rPr>
      <t>→</t>
    </r>
  </si>
  <si>
    <t>x' →</t>
  </si>
  <si>
    <t>Half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</si>
</sst>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9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.7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9A5"/>
        <bgColor indexed="64"/>
      </patternFill>
    </fill>
    <fill>
      <patternFill patternType="solid">
        <fgColor rgb="FFDAC2EC"/>
        <bgColor indexed="64"/>
      </patternFill>
    </fill>
    <fill>
      <patternFill patternType="solid">
        <fgColor rgb="FFEFF69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19C3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/>
      <top style="thick">
        <color indexed="64"/>
      </top>
      <bottom style="thick">
        <color theme="1"/>
      </bottom>
      <diagonal/>
    </border>
    <border>
      <left/>
      <right style="thick">
        <color theme="1"/>
      </right>
      <top style="thick">
        <color indexed="64"/>
      </top>
      <bottom style="thick">
        <color theme="1"/>
      </bottom>
      <diagonal/>
    </border>
    <border>
      <left/>
      <right/>
      <top/>
      <bottom style="thick">
        <color rgb="FF19C3FF"/>
      </bottom>
      <diagonal/>
    </border>
    <border>
      <left/>
      <right/>
      <top style="medium">
        <color indexed="64"/>
      </top>
      <bottom style="thick">
        <color rgb="FF19C3FF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9">
    <xf numFmtId="0" fontId="0" fillId="0" borderId="0" xfId="0"/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/>
    <xf numFmtId="0" fontId="4" fillId="4" borderId="0" xfId="0" applyFont="1" applyFill="1"/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4" borderId="19" xfId="0" applyFill="1" applyBorder="1"/>
    <xf numFmtId="0" fontId="0" fillId="4" borderId="19" xfId="0" applyFill="1" applyBorder="1" applyAlignment="1">
      <alignment horizontal="right"/>
    </xf>
    <xf numFmtId="0" fontId="0" fillId="5" borderId="0" xfId="0" applyFill="1"/>
    <xf numFmtId="0" fontId="0" fillId="5" borderId="33" xfId="0" applyFill="1" applyBorder="1"/>
    <xf numFmtId="0" fontId="0" fillId="5" borderId="0" xfId="0" applyFill="1" applyAlignment="1"/>
    <xf numFmtId="0" fontId="0" fillId="5" borderId="34" xfId="0" applyFill="1" applyBorder="1" applyAlignment="1"/>
    <xf numFmtId="0" fontId="0" fillId="4" borderId="33" xfId="0" applyFill="1" applyBorder="1" applyAlignment="1"/>
    <xf numFmtId="0" fontId="2" fillId="4" borderId="33" xfId="0" applyFont="1" applyFill="1" applyBorder="1" applyAlignment="1"/>
    <xf numFmtId="0" fontId="2" fillId="4" borderId="0" xfId="0" applyFont="1" applyFill="1"/>
    <xf numFmtId="0" fontId="2" fillId="5" borderId="34" xfId="0" applyFont="1" applyFill="1" applyBorder="1" applyAlignment="1"/>
    <xf numFmtId="0" fontId="2" fillId="5" borderId="0" xfId="0" applyFont="1" applyFill="1"/>
    <xf numFmtId="0" fontId="0" fillId="3" borderId="1" xfId="0" applyFill="1" applyBorder="1" applyAlignment="1">
      <alignment horizontal="center"/>
    </xf>
    <xf numFmtId="0" fontId="0" fillId="11" borderId="0" xfId="0" applyFill="1"/>
    <xf numFmtId="0" fontId="0" fillId="11" borderId="0" xfId="0" applyFill="1" applyBorder="1" applyAlignment="1">
      <alignment wrapText="1"/>
    </xf>
    <xf numFmtId="0" fontId="0" fillId="11" borderId="0" xfId="0" applyFill="1" applyBorder="1" applyAlignment="1"/>
    <xf numFmtId="0" fontId="0" fillId="11" borderId="0" xfId="0" applyFill="1" applyBorder="1" applyAlignment="1">
      <alignment horizontal="center" vertical="center"/>
    </xf>
    <xf numFmtId="0" fontId="0" fillId="11" borderId="12" xfId="0" applyFill="1" applyBorder="1"/>
    <xf numFmtId="0" fontId="0" fillId="11" borderId="0" xfId="0" applyFill="1" applyBorder="1"/>
    <xf numFmtId="0" fontId="0" fillId="11" borderId="0" xfId="0" applyFill="1" applyBorder="1" applyAlignment="1">
      <alignment horizontal="right"/>
    </xf>
    <xf numFmtId="0" fontId="0" fillId="11" borderId="12" xfId="0" applyFill="1" applyBorder="1" applyAlignment="1">
      <alignment horizontal="right"/>
    </xf>
    <xf numFmtId="0" fontId="0" fillId="11" borderId="18" xfId="0" applyFill="1" applyBorder="1" applyAlignment="1">
      <alignment horizontal="center"/>
    </xf>
    <xf numFmtId="0" fontId="0" fillId="11" borderId="14" xfId="0" applyFill="1" applyBorder="1"/>
    <xf numFmtId="0" fontId="0" fillId="11" borderId="0" xfId="0" applyFill="1" applyBorder="1" applyAlignment="1">
      <alignment horizontal="center"/>
    </xf>
    <xf numFmtId="0" fontId="0" fillId="11" borderId="37" xfId="0" applyFill="1" applyBorder="1"/>
    <xf numFmtId="0" fontId="6" fillId="11" borderId="12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0" borderId="0" xfId="0" applyFill="1"/>
    <xf numFmtId="0" fontId="0" fillId="11" borderId="39" xfId="0" applyFill="1" applyBorder="1"/>
    <xf numFmtId="0" fontId="0" fillId="11" borderId="14" xfId="0" applyFill="1" applyBorder="1" applyAlignment="1">
      <alignment horizontal="center"/>
    </xf>
    <xf numFmtId="0" fontId="0" fillId="11" borderId="48" xfId="0" applyFill="1" applyBorder="1"/>
    <xf numFmtId="0" fontId="0" fillId="4" borderId="33" xfId="0" applyFill="1" applyBorder="1"/>
    <xf numFmtId="0" fontId="0" fillId="11" borderId="51" xfId="0" applyFill="1" applyBorder="1"/>
    <xf numFmtId="0" fontId="0" fillId="11" borderId="12" xfId="0" applyFill="1" applyBorder="1" applyAlignment="1">
      <alignment horizont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/>
    </xf>
    <xf numFmtId="0" fontId="0" fillId="14" borderId="0" xfId="0" applyFill="1"/>
    <xf numFmtId="0" fontId="0" fillId="14" borderId="12" xfId="0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164" fontId="0" fillId="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4" fontId="0" fillId="11" borderId="0" xfId="0" applyNumberFormat="1" applyFill="1" applyBorder="1" applyAlignment="1">
      <alignment horizontal="center"/>
    </xf>
    <xf numFmtId="0" fontId="0" fillId="17" borderId="0" xfId="0" applyFill="1"/>
    <xf numFmtId="0" fontId="0" fillId="17" borderId="0" xfId="0" applyFill="1" applyBorder="1" applyAlignment="1">
      <alignment horizontal="center" wrapText="1"/>
    </xf>
    <xf numFmtId="0" fontId="0" fillId="17" borderId="12" xfId="0" applyFill="1" applyBorder="1" applyAlignment="1">
      <alignment wrapText="1"/>
    </xf>
    <xf numFmtId="0" fontId="0" fillId="17" borderId="0" xfId="0" applyFill="1" applyBorder="1"/>
    <xf numFmtId="0" fontId="10" fillId="17" borderId="0" xfId="0" applyFont="1" applyFill="1" applyBorder="1" applyAlignment="1">
      <alignment vertical="center" wrapText="1"/>
    </xf>
    <xf numFmtId="0" fontId="0" fillId="11" borderId="0" xfId="0" applyFill="1" applyBorder="1" applyAlignment="1">
      <alignment horizontal="left"/>
    </xf>
    <xf numFmtId="164" fontId="0" fillId="11" borderId="0" xfId="0" applyNumberFormat="1" applyFill="1" applyBorder="1" applyAlignment="1">
      <alignment horizontal="center" wrapText="1"/>
    </xf>
    <xf numFmtId="164" fontId="0" fillId="0" borderId="0" xfId="0" applyNumberFormat="1" applyFill="1" applyAlignment="1">
      <alignment wrapText="1"/>
    </xf>
    <xf numFmtId="0" fontId="0" fillId="11" borderId="35" xfId="0" applyFill="1" applyBorder="1" applyAlignment="1">
      <alignment wrapText="1"/>
    </xf>
    <xf numFmtId="0" fontId="0" fillId="11" borderId="12" xfId="0" applyFill="1" applyBorder="1" applyAlignment="1">
      <alignment wrapText="1"/>
    </xf>
    <xf numFmtId="0" fontId="10" fillId="11" borderId="0" xfId="0" applyFont="1" applyFill="1" applyBorder="1" applyAlignment="1">
      <alignment horizontal="center" vertical="center" wrapText="1"/>
    </xf>
    <xf numFmtId="0" fontId="0" fillId="11" borderId="0" xfId="0" applyFill="1" applyBorder="1" applyAlignment="1">
      <alignment horizontal="center" wrapText="1"/>
    </xf>
    <xf numFmtId="0" fontId="0" fillId="11" borderId="40" xfId="0" applyFill="1" applyBorder="1"/>
    <xf numFmtId="0" fontId="0" fillId="8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7" fontId="0" fillId="2" borderId="2" xfId="1" applyNumberFormat="1" applyFont="1" applyFill="1" applyBorder="1" applyAlignment="1" applyProtection="1">
      <alignment horizontal="center"/>
    </xf>
    <xf numFmtId="164" fontId="0" fillId="2" borderId="54" xfId="0" applyNumberFormat="1" applyFill="1" applyBorder="1" applyAlignment="1" applyProtection="1">
      <alignment horizontal="center"/>
    </xf>
    <xf numFmtId="164" fontId="0" fillId="2" borderId="1" xfId="1" applyNumberFormat="1" applyFon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0" fontId="0" fillId="10" borderId="1" xfId="0" applyFill="1" applyBorder="1" applyAlignment="1" applyProtection="1">
      <alignment horizontal="center"/>
    </xf>
    <xf numFmtId="164" fontId="0" fillId="2" borderId="5" xfId="0" applyNumberFormat="1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</xf>
    <xf numFmtId="0" fontId="0" fillId="12" borderId="1" xfId="0" applyFill="1" applyBorder="1" applyAlignment="1">
      <alignment horizontal="center"/>
    </xf>
    <xf numFmtId="0" fontId="0" fillId="11" borderId="0" xfId="0" quotePrefix="1" applyFill="1"/>
    <xf numFmtId="0" fontId="3" fillId="0" borderId="25" xfId="0" applyFont="1" applyFill="1" applyBorder="1" applyAlignment="1" applyProtection="1">
      <alignment horizontal="center"/>
      <protection locked="0"/>
    </xf>
    <xf numFmtId="0" fontId="0" fillId="4" borderId="19" xfId="0" quotePrefix="1" applyFill="1" applyBorder="1"/>
    <xf numFmtId="0" fontId="10" fillId="17" borderId="0" xfId="0" applyFont="1" applyFill="1" applyBorder="1" applyAlignment="1">
      <alignment horizontal="center" vertical="center" wrapText="1"/>
    </xf>
    <xf numFmtId="0" fontId="0" fillId="17" borderId="0" xfId="0" applyFill="1" applyAlignment="1">
      <alignment horizontal="right"/>
    </xf>
    <xf numFmtId="0" fontId="0" fillId="4" borderId="0" xfId="0" applyFill="1" applyBorder="1"/>
    <xf numFmtId="0" fontId="0" fillId="4" borderId="40" xfId="0" applyFill="1" applyBorder="1"/>
    <xf numFmtId="0" fontId="0" fillId="4" borderId="38" xfId="0" quotePrefix="1" applyFill="1" applyBorder="1"/>
    <xf numFmtId="0" fontId="0" fillId="4" borderId="40" xfId="0" applyFill="1" applyBorder="1" applyAlignment="1">
      <alignment horizontal="right"/>
    </xf>
    <xf numFmtId="0" fontId="0" fillId="5" borderId="0" xfId="0" applyFill="1" applyBorder="1"/>
    <xf numFmtId="0" fontId="0" fillId="5" borderId="40" xfId="0" applyFill="1" applyBorder="1"/>
    <xf numFmtId="0" fontId="0" fillId="5" borderId="38" xfId="0" applyFill="1" applyBorder="1"/>
    <xf numFmtId="0" fontId="0" fillId="5" borderId="40" xfId="0" applyFill="1" applyBorder="1" applyAlignment="1">
      <alignment horizontal="right"/>
    </xf>
    <xf numFmtId="0" fontId="0" fillId="4" borderId="38" xfId="0" applyFill="1" applyBorder="1"/>
    <xf numFmtId="0" fontId="2" fillId="11" borderId="0" xfId="0" quotePrefix="1" applyFont="1" applyFill="1"/>
    <xf numFmtId="0" fontId="2" fillId="11" borderId="0" xfId="0" applyFont="1" applyFill="1"/>
    <xf numFmtId="0" fontId="2" fillId="11" borderId="0" xfId="0" applyFont="1" applyFill="1" applyBorder="1" applyAlignment="1">
      <alignment horizontal="left"/>
    </xf>
    <xf numFmtId="164" fontId="2" fillId="4" borderId="19" xfId="1" applyNumberFormat="1" applyFont="1" applyFill="1" applyBorder="1" applyAlignment="1" applyProtection="1">
      <alignment horizontal="center"/>
    </xf>
    <xf numFmtId="164" fontId="2" fillId="5" borderId="57" xfId="0" applyNumberFormat="1" applyFont="1" applyFill="1" applyBorder="1" applyAlignment="1" applyProtection="1">
      <alignment horizontal="center"/>
    </xf>
    <xf numFmtId="0" fontId="0" fillId="5" borderId="57" xfId="0" applyFill="1" applyBorder="1"/>
    <xf numFmtId="0" fontId="0" fillId="5" borderId="57" xfId="0" applyFill="1" applyBorder="1" applyAlignment="1">
      <alignment horizontal="right"/>
    </xf>
    <xf numFmtId="164" fontId="0" fillId="5" borderId="57" xfId="0" applyNumberFormat="1" applyFill="1" applyBorder="1" applyAlignment="1" applyProtection="1">
      <alignment horizontal="center"/>
    </xf>
    <xf numFmtId="164" fontId="2" fillId="4" borderId="57" xfId="0" applyNumberFormat="1" applyFont="1" applyFill="1" applyBorder="1" applyAlignment="1" applyProtection="1">
      <alignment horizontal="center"/>
    </xf>
    <xf numFmtId="0" fontId="0" fillId="4" borderId="57" xfId="0" applyFill="1" applyBorder="1"/>
    <xf numFmtId="0" fontId="0" fillId="4" borderId="57" xfId="0" applyFill="1" applyBorder="1" applyAlignment="1">
      <alignment horizontal="right"/>
    </xf>
    <xf numFmtId="164" fontId="0" fillId="4" borderId="57" xfId="0" applyNumberFormat="1" applyFill="1" applyBorder="1" applyAlignment="1" applyProtection="1">
      <alignment horizontal="center"/>
    </xf>
    <xf numFmtId="164" fontId="0" fillId="4" borderId="58" xfId="0" applyNumberFormat="1" applyFill="1" applyBorder="1" applyAlignment="1" applyProtection="1">
      <alignment horizontal="center"/>
    </xf>
    <xf numFmtId="0" fontId="2" fillId="11" borderId="12" xfId="0" quotePrefix="1" applyFont="1" applyFill="1" applyBorder="1" applyAlignment="1">
      <alignment horizontal="center" vertical="center"/>
    </xf>
    <xf numFmtId="0" fontId="0" fillId="11" borderId="12" xfId="0" applyFill="1" applyBorder="1" applyAlignment="1">
      <alignment horizontal="left"/>
    </xf>
    <xf numFmtId="164" fontId="0" fillId="11" borderId="12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7" fontId="0" fillId="0" borderId="11" xfId="0" applyNumberFormat="1" applyBorder="1" applyAlignment="1">
      <alignment horizontal="center"/>
    </xf>
    <xf numFmtId="0" fontId="0" fillId="0" borderId="0" xfId="0" applyBorder="1"/>
    <xf numFmtId="0" fontId="0" fillId="0" borderId="61" xfId="0" applyBorder="1"/>
    <xf numFmtId="0" fontId="0" fillId="0" borderId="32" xfId="0" applyBorder="1" applyAlignment="1">
      <alignment horizontal="right"/>
    </xf>
    <xf numFmtId="164" fontId="0" fillId="0" borderId="11" xfId="0" applyNumberForma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12" xfId="0" applyBorder="1"/>
    <xf numFmtId="0" fontId="0" fillId="0" borderId="62" xfId="0" applyBorder="1" applyAlignment="1">
      <alignment horizontal="center"/>
    </xf>
    <xf numFmtId="0" fontId="12" fillId="0" borderId="0" xfId="0" applyFont="1" applyFill="1" applyBorder="1"/>
    <xf numFmtId="0" fontId="0" fillId="18" borderId="14" xfId="0" applyFill="1" applyBorder="1"/>
    <xf numFmtId="0" fontId="0" fillId="18" borderId="0" xfId="0" applyFill="1"/>
    <xf numFmtId="0" fontId="0" fillId="18" borderId="12" xfId="0" applyFill="1" applyBorder="1"/>
    <xf numFmtId="0" fontId="0" fillId="18" borderId="0" xfId="0" applyFill="1" applyBorder="1" applyAlignment="1">
      <alignment wrapText="1"/>
    </xf>
    <xf numFmtId="0" fontId="2" fillId="18" borderId="0" xfId="0" applyFont="1" applyFill="1"/>
    <xf numFmtId="0" fontId="2" fillId="18" borderId="12" xfId="0" applyFont="1" applyFill="1" applyBorder="1" applyAlignment="1">
      <alignment horizontal="center"/>
    </xf>
    <xf numFmtId="0" fontId="0" fillId="18" borderId="0" xfId="0" applyFill="1" applyBorder="1"/>
    <xf numFmtId="0" fontId="0" fillId="11" borderId="12" xfId="0" applyFill="1" applyBorder="1" applyAlignment="1"/>
    <xf numFmtId="0" fontId="0" fillId="18" borderId="12" xfId="0" applyFill="1" applyBorder="1" applyAlignment="1">
      <alignment horizontal="center"/>
    </xf>
    <xf numFmtId="0" fontId="10" fillId="17" borderId="66" xfId="0" applyFont="1" applyFill="1" applyBorder="1" applyAlignment="1">
      <alignment vertical="center" wrapText="1"/>
    </xf>
    <xf numFmtId="0" fontId="2" fillId="5" borderId="0" xfId="0" quotePrefix="1" applyFont="1" applyFill="1" applyAlignment="1">
      <alignment horizontal="right"/>
    </xf>
    <xf numFmtId="0" fontId="2" fillId="4" borderId="0" xfId="0" quotePrefix="1" applyFont="1" applyFill="1" applyAlignment="1">
      <alignment horizontal="right"/>
    </xf>
    <xf numFmtId="0" fontId="0" fillId="0" borderId="62" xfId="0" applyBorder="1" applyAlignment="1">
      <alignment horizontal="center"/>
    </xf>
    <xf numFmtId="0" fontId="0" fillId="0" borderId="14" xfId="0" applyBorder="1"/>
    <xf numFmtId="0" fontId="0" fillId="0" borderId="7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0" fontId="0" fillId="0" borderId="34" xfId="0" applyFill="1" applyBorder="1"/>
    <xf numFmtId="0" fontId="0" fillId="0" borderId="74" xfId="0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0" borderId="74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32" xfId="0" applyBorder="1" applyAlignment="1">
      <alignment horizontal="right"/>
    </xf>
    <xf numFmtId="164" fontId="0" fillId="0" borderId="0" xfId="0" applyNumberFormat="1" applyBorder="1" applyAlignment="1">
      <alignment horizontal="center"/>
    </xf>
    <xf numFmtId="0" fontId="0" fillId="0" borderId="77" xfId="0" applyBorder="1"/>
    <xf numFmtId="0" fontId="0" fillId="0" borderId="0" xfId="0" applyAlignment="1"/>
    <xf numFmtId="0" fontId="0" fillId="0" borderId="32" xfId="0" applyBorder="1" applyAlignment="1"/>
    <xf numFmtId="0" fontId="0" fillId="0" borderId="11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32" xfId="0" applyBorder="1" applyAlignment="1">
      <alignment horizontal="right"/>
    </xf>
    <xf numFmtId="164" fontId="0" fillId="0" borderId="72" xfId="0" applyNumberFormat="1" applyBorder="1" applyAlignment="1">
      <alignment horizontal="center"/>
    </xf>
    <xf numFmtId="0" fontId="2" fillId="0" borderId="0" xfId="0" applyFont="1" applyBorder="1" applyAlignment="1">
      <alignment wrapText="1"/>
    </xf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Fill="1" applyBorder="1" applyAlignment="1">
      <alignment horizontal="center"/>
    </xf>
    <xf numFmtId="0" fontId="0" fillId="0" borderId="12" xfId="0" applyBorder="1" applyAlignment="1"/>
    <xf numFmtId="164" fontId="0" fillId="0" borderId="80" xfId="0" applyNumberFormat="1" applyBorder="1" applyAlignment="1">
      <alignment horizontal="center"/>
    </xf>
    <xf numFmtId="0" fontId="0" fillId="0" borderId="81" xfId="0" applyBorder="1"/>
    <xf numFmtId="0" fontId="0" fillId="0" borderId="63" xfId="0" applyBorder="1" applyAlignment="1"/>
    <xf numFmtId="0" fontId="0" fillId="0" borderId="65" xfId="0" applyBorder="1"/>
    <xf numFmtId="0" fontId="0" fillId="0" borderId="80" xfId="0" applyBorder="1"/>
    <xf numFmtId="0" fontId="0" fillId="0" borderId="12" xfId="0" applyBorder="1" applyAlignment="1">
      <alignment horizontal="right"/>
    </xf>
    <xf numFmtId="164" fontId="0" fillId="0" borderId="0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80" xfId="0" applyBorder="1" applyAlignment="1"/>
    <xf numFmtId="0" fontId="5" fillId="0" borderId="0" xfId="0" applyFont="1" applyBorder="1" applyAlignment="1">
      <alignment vertical="top"/>
    </xf>
    <xf numFmtId="0" fontId="0" fillId="0" borderId="0" xfId="0" applyFill="1" applyBorder="1" applyAlignment="1" applyProtection="1">
      <alignment horizontal="center" vertic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2" fillId="11" borderId="0" xfId="0" applyFont="1" applyFill="1" applyBorder="1" applyAlignment="1">
      <alignment vertical="center"/>
    </xf>
    <xf numFmtId="0" fontId="2" fillId="11" borderId="36" xfId="0" applyFont="1" applyFill="1" applyBorder="1" applyAlignment="1">
      <alignment vertical="center"/>
    </xf>
    <xf numFmtId="0" fontId="0" fillId="11" borderId="6" xfId="0" applyFill="1" applyBorder="1"/>
    <xf numFmtId="0" fontId="0" fillId="11" borderId="0" xfId="0" applyFill="1" applyBorder="1" applyAlignment="1" applyProtection="1">
      <alignment horizontal="center" vertical="center"/>
    </xf>
    <xf numFmtId="164" fontId="0" fillId="2" borderId="1" xfId="0" applyNumberFormat="1" applyFill="1" applyBorder="1" applyAlignment="1" applyProtection="1">
      <alignment horizontal="center"/>
    </xf>
    <xf numFmtId="0" fontId="0" fillId="0" borderId="72" xfId="0" applyFill="1" applyBorder="1" applyAlignment="1">
      <alignment horizontal="center"/>
    </xf>
    <xf numFmtId="0" fontId="0" fillId="0" borderId="72" xfId="0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4" fillId="5" borderId="32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0" fillId="5" borderId="32" xfId="0" applyFill="1" applyBorder="1"/>
    <xf numFmtId="0" fontId="5" fillId="5" borderId="32" xfId="0" applyFont="1" applyFill="1" applyBorder="1" applyAlignment="1">
      <alignment horizontal="center"/>
    </xf>
    <xf numFmtId="0" fontId="0" fillId="4" borderId="32" xfId="0" applyFill="1" applyBorder="1"/>
    <xf numFmtId="0" fontId="0" fillId="0" borderId="11" xfId="0" applyFont="1" applyBorder="1" applyAlignment="1">
      <alignment horizontal="center" vertical="center"/>
    </xf>
    <xf numFmtId="0" fontId="0" fillId="0" borderId="61" xfId="0" applyFill="1" applyBorder="1" applyAlignment="1">
      <alignment horizontal="center"/>
    </xf>
    <xf numFmtId="2" fontId="0" fillId="0" borderId="61" xfId="0" applyNumberFormat="1" applyFill="1" applyBorder="1" applyAlignment="1">
      <alignment horizontal="center"/>
    </xf>
    <xf numFmtId="0" fontId="0" fillId="11" borderId="84" xfId="0" applyFill="1" applyBorder="1" applyAlignment="1" applyProtection="1">
      <alignment horizontal="center" vertical="center"/>
    </xf>
    <xf numFmtId="0" fontId="0" fillId="11" borderId="35" xfId="0" applyFill="1" applyBorder="1"/>
    <xf numFmtId="0" fontId="0" fillId="11" borderId="38" xfId="0" applyFill="1" applyBorder="1"/>
    <xf numFmtId="0" fontId="0" fillId="15" borderId="0" xfId="0" applyFill="1" applyBorder="1" applyAlignment="1">
      <alignment horizontal="center"/>
    </xf>
    <xf numFmtId="0" fontId="0" fillId="6" borderId="25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0" fontId="0" fillId="12" borderId="26" xfId="0" applyFill="1" applyBorder="1" applyAlignment="1" applyProtection="1">
      <alignment horizontal="center"/>
    </xf>
    <xf numFmtId="0" fontId="0" fillId="12" borderId="27" xfId="0" applyFill="1" applyBorder="1" applyAlignment="1" applyProtection="1">
      <alignment horizontal="center"/>
    </xf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32" xfId="0" applyFill="1" applyBorder="1" applyAlignment="1">
      <alignment horizontal="right"/>
    </xf>
    <xf numFmtId="0" fontId="0" fillId="11" borderId="43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8" borderId="16" xfId="0" applyFill="1" applyBorder="1" applyAlignment="1" applyProtection="1">
      <alignment horizontal="center"/>
    </xf>
    <xf numFmtId="0" fontId="0" fillId="8" borderId="17" xfId="0" applyFill="1" applyBorder="1" applyAlignment="1" applyProtection="1">
      <alignment horizontal="center"/>
    </xf>
    <xf numFmtId="0" fontId="0" fillId="9" borderId="11" xfId="0" applyFill="1" applyBorder="1" applyAlignment="1">
      <alignment horizontal="center" wrapText="1"/>
    </xf>
    <xf numFmtId="0" fontId="0" fillId="9" borderId="11" xfId="0" applyFill="1" applyBorder="1" applyAlignment="1">
      <alignment horizontal="center"/>
    </xf>
    <xf numFmtId="0" fontId="0" fillId="6" borderId="11" xfId="0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7" borderId="60" xfId="0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17" borderId="39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0" fillId="7" borderId="29" xfId="0" applyFill="1" applyBorder="1" applyAlignment="1">
      <alignment horizontal="center" wrapText="1"/>
    </xf>
    <xf numFmtId="0" fontId="0" fillId="7" borderId="26" xfId="0" applyFill="1" applyBorder="1" applyAlignment="1">
      <alignment horizontal="center" wrapText="1"/>
    </xf>
    <xf numFmtId="0" fontId="0" fillId="7" borderId="27" xfId="0" applyFill="1" applyBorder="1" applyAlignment="1">
      <alignment horizontal="center" wrapText="1"/>
    </xf>
    <xf numFmtId="0" fontId="0" fillId="8" borderId="20" xfId="0" applyFill="1" applyBorder="1" applyAlignment="1" applyProtection="1">
      <alignment horizontal="center"/>
    </xf>
    <xf numFmtId="0" fontId="2" fillId="11" borderId="1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 wrapText="1"/>
    </xf>
    <xf numFmtId="0" fontId="2" fillId="19" borderId="9" xfId="0" applyFont="1" applyFill="1" applyBorder="1" applyAlignment="1">
      <alignment horizontal="center" wrapText="1"/>
    </xf>
    <xf numFmtId="0" fontId="2" fillId="19" borderId="36" xfId="0" applyFont="1" applyFill="1" applyBorder="1" applyAlignment="1">
      <alignment horizontal="center" wrapText="1"/>
    </xf>
    <xf numFmtId="0" fontId="2" fillId="19" borderId="10" xfId="0" applyFont="1" applyFill="1" applyBorder="1" applyAlignment="1">
      <alignment horizontal="center" wrapText="1"/>
    </xf>
    <xf numFmtId="0" fontId="2" fillId="19" borderId="7" xfId="0" applyFont="1" applyFill="1" applyBorder="1" applyAlignment="1">
      <alignment horizontal="center" wrapText="1"/>
    </xf>
    <xf numFmtId="0" fontId="2" fillId="19" borderId="35" xfId="0" applyFont="1" applyFill="1" applyBorder="1" applyAlignment="1">
      <alignment horizontal="center" wrapText="1"/>
    </xf>
    <xf numFmtId="0" fontId="2" fillId="19" borderId="8" xfId="0" applyFont="1" applyFill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0" fillId="7" borderId="55" xfId="0" applyFill="1" applyBorder="1" applyAlignment="1">
      <alignment horizontal="center"/>
    </xf>
    <xf numFmtId="0" fontId="0" fillId="7" borderId="56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/>
    </xf>
    <xf numFmtId="0" fontId="0" fillId="12" borderId="23" xfId="0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0" fontId="0" fillId="8" borderId="2" xfId="0" applyFill="1" applyBorder="1" applyAlignment="1" applyProtection="1">
      <alignment horizontal="center"/>
    </xf>
    <xf numFmtId="0" fontId="0" fillId="8" borderId="4" xfId="0" applyFill="1" applyBorder="1" applyAlignment="1" applyProtection="1">
      <alignment horizontal="center"/>
    </xf>
    <xf numFmtId="0" fontId="0" fillId="12" borderId="21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7" fontId="0" fillId="2" borderId="49" xfId="1" applyNumberFormat="1" applyFont="1" applyFill="1" applyBorder="1" applyAlignment="1" applyProtection="1">
      <alignment horizontal="center"/>
    </xf>
    <xf numFmtId="7" fontId="0" fillId="2" borderId="50" xfId="1" applyNumberFormat="1" applyFont="1" applyFill="1" applyBorder="1" applyAlignment="1" applyProtection="1">
      <alignment horizontal="center"/>
    </xf>
    <xf numFmtId="0" fontId="0" fillId="12" borderId="1" xfId="0" applyFill="1" applyBorder="1" applyAlignment="1">
      <alignment horizontal="center"/>
    </xf>
    <xf numFmtId="0" fontId="2" fillId="11" borderId="39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0" fontId="2" fillId="16" borderId="2" xfId="0" applyFont="1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2" borderId="44" xfId="0" applyNumberFormat="1" applyFill="1" applyBorder="1" applyAlignment="1" applyProtection="1">
      <alignment horizontal="center"/>
    </xf>
    <xf numFmtId="164" fontId="0" fillId="2" borderId="45" xfId="0" applyNumberFormat="1" applyFill="1" applyBorder="1" applyAlignment="1" applyProtection="1">
      <alignment horizontal="center"/>
    </xf>
    <xf numFmtId="164" fontId="0" fillId="12" borderId="2" xfId="0" applyNumberFormat="1" applyFill="1" applyBorder="1" applyAlignment="1" applyProtection="1">
      <alignment horizontal="center" wrapText="1"/>
    </xf>
    <xf numFmtId="164" fontId="0" fillId="12" borderId="4" xfId="0" applyNumberFormat="1" applyFill="1" applyBorder="1" applyAlignment="1" applyProtection="1">
      <alignment horizontal="center" wrapText="1"/>
    </xf>
    <xf numFmtId="164" fontId="0" fillId="2" borderId="2" xfId="0" applyNumberFormat="1" applyFill="1" applyBorder="1" applyAlignment="1" applyProtection="1">
      <alignment horizontal="center" wrapText="1"/>
    </xf>
    <xf numFmtId="164" fontId="0" fillId="2" borderId="4" xfId="0" applyNumberFormat="1" applyFill="1" applyBorder="1" applyAlignment="1" applyProtection="1">
      <alignment horizontal="center" wrapText="1"/>
    </xf>
    <xf numFmtId="0" fontId="0" fillId="3" borderId="9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15" fillId="11" borderId="35" xfId="0" applyFont="1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3" fillId="3" borderId="28" xfId="0" applyFont="1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  <xf numFmtId="0" fontId="0" fillId="3" borderId="52" xfId="0" applyFill="1" applyBorder="1" applyAlignment="1">
      <alignment horizontal="center" wrapText="1"/>
    </xf>
    <xf numFmtId="0" fontId="0" fillId="3" borderId="35" xfId="0" applyFill="1" applyBorder="1" applyAlignment="1">
      <alignment horizontal="center" wrapText="1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0" fillId="0" borderId="53" xfId="0" applyFill="1" applyBorder="1" applyAlignment="1" applyProtection="1">
      <alignment horizontal="center" vertical="center" wrapText="1"/>
      <protection locked="0"/>
    </xf>
    <xf numFmtId="164" fontId="2" fillId="5" borderId="57" xfId="0" applyNumberFormat="1" applyFont="1" applyFill="1" applyBorder="1" applyAlignment="1" applyProtection="1">
      <alignment horizontal="center"/>
    </xf>
    <xf numFmtId="164" fontId="2" fillId="5" borderId="58" xfId="0" applyNumberFormat="1" applyFont="1" applyFill="1" applyBorder="1" applyAlignment="1" applyProtection="1">
      <alignment horizontal="center"/>
    </xf>
    <xf numFmtId="164" fontId="2" fillId="4" borderId="57" xfId="0" applyNumberFormat="1" applyFont="1" applyFill="1" applyBorder="1" applyAlignment="1" applyProtection="1">
      <alignment horizontal="center"/>
    </xf>
    <xf numFmtId="164" fontId="2" fillId="4" borderId="58" xfId="0" applyNumberFormat="1" applyFont="1" applyFill="1" applyBorder="1" applyAlignment="1" applyProtection="1">
      <alignment horizontal="center"/>
    </xf>
    <xf numFmtId="0" fontId="0" fillId="9" borderId="1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11" borderId="0" xfId="0" applyFill="1" applyAlignment="1">
      <alignment horizontal="left"/>
    </xf>
    <xf numFmtId="0" fontId="0" fillId="11" borderId="0" xfId="0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164" fontId="0" fillId="2" borderId="41" xfId="0" applyNumberFormat="1" applyFill="1" applyBorder="1" applyAlignment="1" applyProtection="1">
      <alignment horizontal="center"/>
    </xf>
    <xf numFmtId="164" fontId="0" fillId="2" borderId="42" xfId="0" applyNumberFormat="1" applyFill="1" applyBorder="1" applyAlignment="1" applyProtection="1">
      <alignment horizontal="center"/>
    </xf>
    <xf numFmtId="164" fontId="0" fillId="16" borderId="1" xfId="0" applyNumberFormat="1" applyFill="1" applyBorder="1" applyAlignment="1" applyProtection="1">
      <alignment horizontal="center"/>
      <protection locked="0"/>
    </xf>
    <xf numFmtId="0" fontId="0" fillId="12" borderId="41" xfId="0" applyFill="1" applyBorder="1" applyAlignment="1">
      <alignment horizontal="center"/>
    </xf>
    <xf numFmtId="0" fontId="0" fillId="12" borderId="42" xfId="0" applyFill="1" applyBorder="1" applyAlignment="1">
      <alignment horizontal="center"/>
    </xf>
    <xf numFmtId="0" fontId="0" fillId="12" borderId="2" xfId="0" applyFill="1" applyBorder="1" applyAlignment="1">
      <alignment horizontal="center" wrapText="1"/>
    </xf>
    <xf numFmtId="0" fontId="0" fillId="12" borderId="4" xfId="0" applyFill="1" applyBorder="1" applyAlignment="1">
      <alignment horizontal="center" wrapText="1"/>
    </xf>
    <xf numFmtId="0" fontId="0" fillId="16" borderId="67" xfId="0" applyFill="1" applyBorder="1" applyAlignment="1" applyProtection="1">
      <alignment horizontal="center" wrapText="1"/>
      <protection locked="0"/>
    </xf>
    <xf numFmtId="0" fontId="0" fillId="16" borderId="68" xfId="0" applyFill="1" applyBorder="1" applyAlignment="1" applyProtection="1">
      <alignment horizontal="center" wrapText="1"/>
      <protection locked="0"/>
    </xf>
    <xf numFmtId="164" fontId="0" fillId="16" borderId="7" xfId="0" applyNumberFormat="1" applyFill="1" applyBorder="1" applyAlignment="1" applyProtection="1">
      <alignment horizontal="center" wrapText="1"/>
      <protection locked="0"/>
    </xf>
    <xf numFmtId="164" fontId="0" fillId="16" borderId="8" xfId="0" applyNumberFormat="1" applyFill="1" applyBorder="1" applyAlignment="1" applyProtection="1">
      <alignment horizontal="center" wrapText="1"/>
      <protection locked="0"/>
    </xf>
    <xf numFmtId="0" fontId="0" fillId="16" borderId="9" xfId="0" applyFill="1" applyBorder="1" applyAlignment="1" applyProtection="1">
      <alignment horizontal="center" wrapText="1"/>
      <protection locked="0"/>
    </xf>
    <xf numFmtId="0" fontId="0" fillId="16" borderId="10" xfId="0" applyFill="1" applyBorder="1" applyAlignment="1" applyProtection="1">
      <alignment horizontal="center" wrapText="1"/>
      <protection locked="0"/>
    </xf>
    <xf numFmtId="164" fontId="0" fillId="16" borderId="69" xfId="0" applyNumberFormat="1" applyFill="1" applyBorder="1" applyAlignment="1" applyProtection="1">
      <alignment horizontal="center" wrapText="1"/>
      <protection locked="0"/>
    </xf>
    <xf numFmtId="164" fontId="0" fillId="16" borderId="70" xfId="0" applyNumberFormat="1" applyFill="1" applyBorder="1" applyAlignment="1" applyProtection="1">
      <alignment horizontal="center" wrapText="1"/>
      <protection locked="0"/>
    </xf>
    <xf numFmtId="0" fontId="2" fillId="11" borderId="14" xfId="0" applyFont="1" applyFill="1" applyBorder="1" applyAlignment="1">
      <alignment horizontal="center" wrapText="1"/>
    </xf>
    <xf numFmtId="0" fontId="10" fillId="13" borderId="43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 wrapText="1"/>
    </xf>
    <xf numFmtId="0" fontId="10" fillId="13" borderId="46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0" fontId="10" fillId="13" borderId="47" xfId="0" applyFont="1" applyFill="1" applyBorder="1" applyAlignment="1">
      <alignment horizontal="center" vertical="center" wrapText="1"/>
    </xf>
    <xf numFmtId="0" fontId="7" fillId="15" borderId="9" xfId="0" applyFont="1" applyFill="1" applyBorder="1" applyAlignment="1">
      <alignment horizontal="center" vertical="center" wrapText="1"/>
    </xf>
    <xf numFmtId="0" fontId="10" fillId="15" borderId="36" xfId="0" applyFont="1" applyFill="1" applyBorder="1" applyAlignment="1">
      <alignment horizontal="center" vertical="center" wrapText="1"/>
    </xf>
    <xf numFmtId="0" fontId="10" fillId="15" borderId="10" xfId="0" applyFont="1" applyFill="1" applyBorder="1" applyAlignment="1">
      <alignment horizontal="center" vertical="center" wrapText="1"/>
    </xf>
    <xf numFmtId="0" fontId="10" fillId="15" borderId="7" xfId="0" applyFont="1" applyFill="1" applyBorder="1" applyAlignment="1">
      <alignment horizontal="center" vertical="center" wrapText="1"/>
    </xf>
    <xf numFmtId="0" fontId="10" fillId="15" borderId="35" xfId="0" applyFont="1" applyFill="1" applyBorder="1" applyAlignment="1">
      <alignment horizontal="center" vertical="center" wrapText="1"/>
    </xf>
    <xf numFmtId="0" fontId="10" fillId="15" borderId="8" xfId="0" applyFont="1" applyFill="1" applyBorder="1" applyAlignment="1">
      <alignment horizontal="center" vertical="center" wrapText="1"/>
    </xf>
    <xf numFmtId="0" fontId="0" fillId="19" borderId="2" xfId="0" applyFill="1" applyBorder="1" applyAlignment="1">
      <alignment horizontal="center" wrapText="1"/>
    </xf>
    <xf numFmtId="0" fontId="0" fillId="19" borderId="3" xfId="0" applyFill="1" applyBorder="1" applyAlignment="1">
      <alignment horizontal="center" wrapText="1"/>
    </xf>
    <xf numFmtId="0" fontId="0" fillId="19" borderId="4" xfId="0" applyFill="1" applyBorder="1" applyAlignment="1">
      <alignment horizontal="center" wrapText="1"/>
    </xf>
    <xf numFmtId="0" fontId="10" fillId="13" borderId="37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 applyProtection="1">
      <alignment horizontal="center"/>
      <protection locked="0"/>
    </xf>
    <xf numFmtId="0" fontId="0" fillId="7" borderId="41" xfId="0" applyFill="1" applyBorder="1" applyAlignment="1">
      <alignment horizontal="center" wrapText="1"/>
    </xf>
    <xf numFmtId="0" fontId="0" fillId="7" borderId="42" xfId="0" applyFill="1" applyBorder="1" applyAlignment="1">
      <alignment horizontal="center" wrapText="1"/>
    </xf>
    <xf numFmtId="0" fontId="0" fillId="19" borderId="9" xfId="0" applyFill="1" applyBorder="1" applyAlignment="1">
      <alignment horizontal="center" wrapText="1"/>
    </xf>
    <xf numFmtId="0" fontId="0" fillId="19" borderId="36" xfId="0" applyFill="1" applyBorder="1" applyAlignment="1">
      <alignment horizontal="center" wrapText="1"/>
    </xf>
    <xf numFmtId="0" fontId="0" fillId="19" borderId="10" xfId="0" applyFill="1" applyBorder="1" applyAlignment="1">
      <alignment horizontal="center" wrapText="1"/>
    </xf>
    <xf numFmtId="0" fontId="0" fillId="19" borderId="7" xfId="0" applyFill="1" applyBorder="1" applyAlignment="1">
      <alignment horizontal="center" wrapText="1"/>
    </xf>
    <xf numFmtId="0" fontId="0" fillId="19" borderId="35" xfId="0" applyFill="1" applyBorder="1" applyAlignment="1">
      <alignment horizontal="center" wrapText="1"/>
    </xf>
    <xf numFmtId="0" fontId="0" fillId="19" borderId="8" xfId="0" applyFill="1" applyBorder="1" applyAlignment="1">
      <alignment horizontal="center" wrapText="1"/>
    </xf>
    <xf numFmtId="164" fontId="0" fillId="0" borderId="2" xfId="0" applyNumberFormat="1" applyFont="1" applyFill="1" applyBorder="1" applyAlignment="1" applyProtection="1">
      <alignment horizontal="center"/>
      <protection locked="0"/>
    </xf>
    <xf numFmtId="164" fontId="0" fillId="0" borderId="4" xfId="0" applyNumberFormat="1" applyFont="1" applyFill="1" applyBorder="1" applyAlignment="1" applyProtection="1">
      <alignment horizontal="center"/>
      <protection locked="0"/>
    </xf>
    <xf numFmtId="0" fontId="13" fillId="15" borderId="1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18" borderId="35" xfId="0" applyFill="1" applyBorder="1" applyAlignment="1">
      <alignment horizontal="center"/>
    </xf>
    <xf numFmtId="0" fontId="2" fillId="18" borderId="36" xfId="0" applyFont="1" applyFill="1" applyBorder="1" applyAlignment="1">
      <alignment horizontal="center"/>
    </xf>
    <xf numFmtId="0" fontId="0" fillId="19" borderId="1" xfId="0" applyFill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9" fillId="10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11" borderId="36" xfId="0" applyFill="1" applyBorder="1" applyAlignment="1">
      <alignment horizontal="left" vertical="center"/>
    </xf>
    <xf numFmtId="164" fontId="0" fillId="2" borderId="1" xfId="0" applyNumberFormat="1" applyFill="1" applyBorder="1" applyAlignment="1" applyProtection="1">
      <alignment horizontal="center" vertical="center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11" borderId="40" xfId="0" applyFill="1" applyBorder="1" applyAlignment="1">
      <alignment horizontal="left"/>
    </xf>
    <xf numFmtId="0" fontId="0" fillId="0" borderId="72" xfId="0" applyFill="1" applyBorder="1" applyAlignment="1">
      <alignment horizontal="center"/>
    </xf>
    <xf numFmtId="0" fontId="0" fillId="0" borderId="7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14" fillId="11" borderId="0" xfId="0" applyFont="1" applyFill="1" applyBorder="1" applyAlignment="1">
      <alignment horizontal="center" vertical="center"/>
    </xf>
    <xf numFmtId="0" fontId="0" fillId="11" borderId="0" xfId="0" applyFill="1" applyBorder="1" applyAlignment="1" applyProtection="1">
      <alignment horizontal="center" vertical="center"/>
    </xf>
    <xf numFmtId="0" fontId="0" fillId="11" borderId="36" xfId="0" applyFill="1" applyBorder="1" applyAlignment="1" applyProtection="1">
      <alignment horizontal="center" vertical="center"/>
    </xf>
    <xf numFmtId="0" fontId="0" fillId="0" borderId="61" xfId="0" applyFill="1" applyBorder="1" applyAlignment="1">
      <alignment horizontal="center" wrapText="1"/>
    </xf>
    <xf numFmtId="0" fontId="0" fillId="12" borderId="44" xfId="0" applyFill="1" applyBorder="1" applyAlignment="1">
      <alignment horizontal="center"/>
    </xf>
    <xf numFmtId="0" fontId="0" fillId="12" borderId="45" xfId="0" applyFill="1" applyBorder="1" applyAlignment="1">
      <alignment horizontal="center"/>
    </xf>
    <xf numFmtId="0" fontId="2" fillId="19" borderId="9" xfId="0" applyFont="1" applyFill="1" applyBorder="1" applyAlignment="1">
      <alignment horizontal="center" vertical="center"/>
    </xf>
    <xf numFmtId="0" fontId="2" fillId="19" borderId="36" xfId="0" applyFont="1" applyFill="1" applyBorder="1" applyAlignment="1">
      <alignment horizontal="center" vertical="center"/>
    </xf>
    <xf numFmtId="0" fontId="2" fillId="19" borderId="10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19" borderId="35" xfId="0" applyFont="1" applyFill="1" applyBorder="1" applyAlignment="1">
      <alignment horizontal="center" vertical="center"/>
    </xf>
    <xf numFmtId="0" fontId="2" fillId="19" borderId="8" xfId="0" applyFont="1" applyFill="1" applyBorder="1" applyAlignment="1">
      <alignment horizontal="center" vertical="center"/>
    </xf>
    <xf numFmtId="0" fontId="0" fillId="16" borderId="2" xfId="0" applyFill="1" applyBorder="1" applyAlignment="1" applyProtection="1">
      <alignment horizontal="center" vertical="center" wrapText="1"/>
      <protection locked="0"/>
    </xf>
    <xf numFmtId="0" fontId="0" fillId="16" borderId="3" xfId="0" applyFill="1" applyBorder="1" applyAlignment="1" applyProtection="1">
      <alignment horizontal="center" vertical="center" wrapText="1"/>
      <protection locked="0"/>
    </xf>
    <xf numFmtId="0" fontId="0" fillId="16" borderId="4" xfId="0" applyFill="1" applyBorder="1" applyAlignment="1" applyProtection="1">
      <alignment horizontal="center" vertical="center" wrapText="1"/>
      <protection locked="0"/>
    </xf>
    <xf numFmtId="0" fontId="0" fillId="0" borderId="77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2" fillId="20" borderId="13" xfId="0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22" borderId="83" xfId="0" applyFill="1" applyBorder="1" applyAlignment="1">
      <alignment horizontal="center"/>
    </xf>
    <xf numFmtId="164" fontId="0" fillId="22" borderId="11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2" xfId="0" applyBorder="1" applyAlignment="1">
      <alignment horizontal="right"/>
    </xf>
    <xf numFmtId="0" fontId="3" fillId="0" borderId="0" xfId="0" applyFont="1" applyAlignment="1">
      <alignment horizontal="right"/>
    </xf>
    <xf numFmtId="0" fontId="0" fillId="22" borderId="64" xfId="0" applyFill="1" applyBorder="1" applyAlignment="1">
      <alignment horizontal="center" vertical="center" textRotation="90" wrapText="1"/>
    </xf>
    <xf numFmtId="0" fontId="0" fillId="22" borderId="65" xfId="0" applyFill="1" applyBorder="1" applyAlignment="1">
      <alignment horizontal="center" vertical="center" textRotation="90"/>
    </xf>
    <xf numFmtId="7" fontId="0" fillId="0" borderId="11" xfId="0" applyNumberFormat="1" applyBorder="1" applyAlignment="1">
      <alignment horizontal="center"/>
    </xf>
    <xf numFmtId="0" fontId="0" fillId="0" borderId="82" xfId="0" applyBorder="1" applyAlignment="1">
      <alignment horizontal="center"/>
    </xf>
    <xf numFmtId="0" fontId="5" fillId="0" borderId="80" xfId="0" applyFont="1" applyBorder="1" applyAlignment="1">
      <alignment horizontal="center" vertical="top"/>
    </xf>
    <xf numFmtId="164" fontId="5" fillId="0" borderId="80" xfId="0" applyNumberFormat="1" applyFont="1" applyBorder="1" applyAlignment="1">
      <alignment horizontal="center" vertical="top"/>
    </xf>
    <xf numFmtId="0" fontId="0" fillId="19" borderId="43" xfId="0" applyFill="1" applyBorder="1" applyAlignment="1">
      <alignment horizontal="center" wrapText="1"/>
    </xf>
    <xf numFmtId="0" fontId="0" fillId="19" borderId="14" xfId="0" applyFill="1" applyBorder="1" applyAlignment="1">
      <alignment horizontal="center"/>
    </xf>
    <xf numFmtId="0" fontId="0" fillId="19" borderId="37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12" xfId="0" applyFill="1" applyBorder="1" applyAlignment="1">
      <alignment horizontal="center"/>
    </xf>
    <xf numFmtId="0" fontId="0" fillId="19" borderId="47" xfId="0" applyFill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64" fontId="0" fillId="0" borderId="41" xfId="1" applyNumberFormat="1" applyFont="1" applyBorder="1" applyAlignment="1">
      <alignment horizontal="center"/>
    </xf>
    <xf numFmtId="164" fontId="0" fillId="0" borderId="42" xfId="1" applyNumberFormat="1" applyFont="1" applyBorder="1" applyAlignment="1">
      <alignment horizontal="center"/>
    </xf>
    <xf numFmtId="0" fontId="0" fillId="21" borderId="13" xfId="0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72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164" fontId="0" fillId="0" borderId="72" xfId="1" applyNumberFormat="1" applyFont="1" applyBorder="1" applyAlignment="1">
      <alignment horizontal="center"/>
    </xf>
    <xf numFmtId="164" fontId="0" fillId="0" borderId="73" xfId="1" applyNumberFormat="1" applyFont="1" applyBorder="1" applyAlignment="1">
      <alignment horizontal="center"/>
    </xf>
    <xf numFmtId="164" fontId="0" fillId="2" borderId="41" xfId="0" applyNumberFormat="1" applyFill="1" applyBorder="1" applyAlignment="1">
      <alignment horizontal="center"/>
    </xf>
    <xf numFmtId="164" fontId="0" fillId="2" borderId="42" xfId="0" applyNumberFormat="1" applyFill="1" applyBorder="1" applyAlignment="1">
      <alignment horizontal="center"/>
    </xf>
    <xf numFmtId="0" fontId="2" fillId="20" borderId="78" xfId="0" applyFont="1" applyFill="1" applyBorder="1" applyAlignment="1">
      <alignment horizontal="center" vertical="center"/>
    </xf>
    <xf numFmtId="0" fontId="2" fillId="20" borderId="14" xfId="0" applyFont="1" applyFill="1" applyBorder="1" applyAlignment="1">
      <alignment horizontal="center" vertical="center"/>
    </xf>
    <xf numFmtId="0" fontId="2" fillId="20" borderId="37" xfId="0" applyFont="1" applyFill="1" applyBorder="1" applyAlignment="1">
      <alignment horizontal="center" vertical="center"/>
    </xf>
    <xf numFmtId="0" fontId="2" fillId="20" borderId="38" xfId="0" applyFont="1" applyFill="1" applyBorder="1" applyAlignment="1">
      <alignment horizontal="center" vertical="center"/>
    </xf>
    <xf numFmtId="0" fontId="2" fillId="20" borderId="0" xfId="0" applyFont="1" applyFill="1" applyBorder="1" applyAlignment="1">
      <alignment horizontal="center" vertical="center"/>
    </xf>
    <xf numFmtId="0" fontId="2" fillId="20" borderId="71" xfId="0" applyFont="1" applyFill="1" applyBorder="1" applyAlignment="1">
      <alignment horizontal="center" vertical="center"/>
    </xf>
    <xf numFmtId="0" fontId="2" fillId="20" borderId="79" xfId="0" applyFont="1" applyFill="1" applyBorder="1" applyAlignment="1">
      <alignment horizontal="center" vertical="center"/>
    </xf>
    <xf numFmtId="0" fontId="2" fillId="20" borderId="12" xfId="0" applyFont="1" applyFill="1" applyBorder="1" applyAlignment="1">
      <alignment horizontal="center" vertical="center"/>
    </xf>
    <xf numFmtId="0" fontId="2" fillId="20" borderId="47" xfId="0" applyFont="1" applyFill="1" applyBorder="1" applyAlignment="1">
      <alignment horizontal="center" vertical="center"/>
    </xf>
    <xf numFmtId="0" fontId="0" fillId="22" borderId="81" xfId="0" applyFill="1" applyBorder="1" applyAlignment="1">
      <alignment horizontal="center" vertical="center" textRotation="90" wrapText="1"/>
    </xf>
    <xf numFmtId="0" fontId="0" fillId="22" borderId="63" xfId="0" applyFill="1" applyBorder="1" applyAlignment="1">
      <alignment horizontal="center" vertical="center" textRotation="90"/>
    </xf>
    <xf numFmtId="0" fontId="0" fillId="22" borderId="62" xfId="0" applyFill="1" applyBorder="1" applyAlignment="1">
      <alignment horizontal="center" vertical="center" textRotation="90"/>
    </xf>
    <xf numFmtId="7" fontId="0" fillId="0" borderId="72" xfId="0" applyNumberFormat="1" applyBorder="1" applyAlignment="1">
      <alignment horizontal="center"/>
    </xf>
    <xf numFmtId="7" fontId="0" fillId="0" borderId="73" xfId="0" applyNumberFormat="1" applyBorder="1" applyAlignment="1">
      <alignment horizontal="center"/>
    </xf>
    <xf numFmtId="0" fontId="0" fillId="21" borderId="41" xfId="0" applyFill="1" applyBorder="1" applyAlignment="1">
      <alignment horizontal="center"/>
    </xf>
    <xf numFmtId="0" fontId="0" fillId="21" borderId="42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3B3B"/>
      <color rgb="FF8EA9DB"/>
      <color rgb="FFDAC2EC"/>
      <color rgb="FFDAE9A5"/>
      <color rgb="FF19C3FF"/>
      <color rgb="FFFFAFAF"/>
      <color rgb="FFEFF692"/>
      <color rgb="FFFF1919"/>
      <color rgb="FFFFC9C9"/>
      <color rgb="FFC39B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I128"/>
  <sheetViews>
    <sheetView tabSelected="1" zoomScaleNormal="100" workbookViewId="0">
      <selection activeCell="B5" sqref="B5:E5"/>
    </sheetView>
  </sheetViews>
  <sheetFormatPr defaultRowHeight="14.4" x14ac:dyDescent="0.3"/>
  <cols>
    <col min="1" max="1" width="3.109375" customWidth="1"/>
    <col min="2" max="3" width="8.88671875" customWidth="1"/>
    <col min="15" max="15" width="2.88671875" customWidth="1"/>
    <col min="16" max="16" width="0.6640625" customWidth="1"/>
    <col min="17" max="17" width="15.33203125" hidden="1" customWidth="1"/>
    <col min="18" max="18" width="14.33203125" hidden="1" customWidth="1"/>
    <col min="19" max="19" width="14" hidden="1" customWidth="1"/>
    <col min="20" max="20" width="13.77734375" hidden="1" customWidth="1"/>
    <col min="21" max="21" width="13.33203125" hidden="1" customWidth="1"/>
    <col min="22" max="22" width="11.5546875" customWidth="1"/>
    <col min="23" max="23" width="9.5546875" customWidth="1"/>
  </cols>
  <sheetData>
    <row r="1" spans="1:20" ht="15" thickBot="1" x14ac:dyDescent="0.35">
      <c r="A1" s="21"/>
      <c r="B1" s="21"/>
      <c r="C1" s="21"/>
      <c r="D1" s="21"/>
      <c r="E1" s="21"/>
      <c r="F1" s="21"/>
      <c r="G1" s="206" t="s">
        <v>114</v>
      </c>
      <c r="H1" s="206"/>
      <c r="I1" s="206"/>
      <c r="J1" s="21"/>
      <c r="K1" s="21"/>
      <c r="L1" s="21"/>
      <c r="M1" s="21"/>
      <c r="N1" s="21"/>
      <c r="O1" s="21"/>
    </row>
    <row r="2" spans="1:20" ht="15" thickBot="1" x14ac:dyDescent="0.35">
      <c r="A2" s="21"/>
      <c r="B2" s="269" t="s">
        <v>87</v>
      </c>
      <c r="C2" s="270"/>
      <c r="D2" s="270"/>
      <c r="E2" s="271"/>
      <c r="F2" s="21"/>
      <c r="G2" s="21"/>
      <c r="H2" s="21"/>
      <c r="I2" s="21"/>
      <c r="J2" s="21"/>
      <c r="K2" s="21"/>
      <c r="L2" s="21"/>
      <c r="M2" s="232" t="s">
        <v>49</v>
      </c>
      <c r="N2" s="233"/>
      <c r="O2" s="21"/>
    </row>
    <row r="3" spans="1:20" ht="15" customHeight="1" thickBot="1" x14ac:dyDescent="0.35">
      <c r="A3" s="21"/>
      <c r="B3" s="21"/>
      <c r="C3" s="21"/>
      <c r="D3" s="21"/>
      <c r="E3" s="21"/>
      <c r="F3" s="21"/>
      <c r="G3" s="209" t="s">
        <v>6</v>
      </c>
      <c r="H3" s="210"/>
      <c r="I3" s="21"/>
      <c r="J3" s="209" t="s">
        <v>3</v>
      </c>
      <c r="K3" s="210"/>
      <c r="L3" s="21"/>
      <c r="M3" s="234"/>
      <c r="N3" s="235"/>
      <c r="O3" s="21"/>
    </row>
    <row r="4" spans="1:20" ht="15" thickBot="1" x14ac:dyDescent="0.35">
      <c r="A4" s="21"/>
      <c r="B4" s="238" t="s">
        <v>0</v>
      </c>
      <c r="C4" s="239"/>
      <c r="D4" s="239"/>
      <c r="E4" s="240"/>
      <c r="F4" s="21"/>
      <c r="G4" s="1" t="s">
        <v>7</v>
      </c>
      <c r="H4" s="2" t="s">
        <v>8</v>
      </c>
      <c r="I4" s="21"/>
      <c r="J4" s="3" t="s">
        <v>4</v>
      </c>
      <c r="K4" s="3" t="s">
        <v>5</v>
      </c>
      <c r="L4" s="21"/>
      <c r="M4" s="7" t="s">
        <v>1</v>
      </c>
      <c r="N4" s="8" t="s">
        <v>2</v>
      </c>
      <c r="O4" s="21"/>
    </row>
    <row r="5" spans="1:20" ht="15" thickBot="1" x14ac:dyDescent="0.35">
      <c r="A5" s="21"/>
      <c r="B5" s="228"/>
      <c r="C5" s="229"/>
      <c r="D5" s="229"/>
      <c r="E5" s="230"/>
      <c r="F5" s="21"/>
      <c r="G5" s="70"/>
      <c r="H5" s="69" t="str">
        <f>IF(G5&gt;0,G5-1,"")</f>
        <v/>
      </c>
      <c r="I5" s="21"/>
      <c r="J5" s="71"/>
      <c r="K5" s="71"/>
      <c r="L5" s="21"/>
      <c r="M5" s="72"/>
      <c r="N5" s="72"/>
      <c r="O5" s="21"/>
    </row>
    <row r="6" spans="1:20" ht="15" thickBot="1" x14ac:dyDescent="0.35">
      <c r="A6" s="21"/>
      <c r="B6" s="21"/>
      <c r="C6" s="21"/>
      <c r="D6" s="21"/>
      <c r="E6" s="21"/>
      <c r="F6" s="21"/>
      <c r="G6" s="259" t="str">
        <f>IF(G5=1,"Day Visit",IF(G5&gt;=1,"Camp",IF(G5="","")))</f>
        <v/>
      </c>
      <c r="H6" s="260"/>
      <c r="I6" s="21"/>
      <c r="J6" s="219">
        <f>SUM(J5:K5)</f>
        <v>0</v>
      </c>
      <c r="K6" s="220"/>
      <c r="L6" s="21"/>
      <c r="M6" s="236" t="str">
        <f>IF(AND(M5="x",N5="x"),"-",IF(AND(M5="",N5=""),"-",IF(M5="x","State",IF(N5="x","Non-State"))))</f>
        <v>-</v>
      </c>
      <c r="N6" s="236"/>
      <c r="O6" s="21"/>
    </row>
    <row r="7" spans="1:20" ht="15" thickBot="1" x14ac:dyDescent="0.35">
      <c r="A7" s="21"/>
      <c r="B7" s="25"/>
      <c r="C7" s="25"/>
      <c r="D7" s="25"/>
      <c r="E7" s="25"/>
      <c r="F7" s="237" t="str">
        <f>IF(G6="Day Visit","Day Visit cost includes pizza lunch","")</f>
        <v/>
      </c>
      <c r="G7" s="237"/>
      <c r="H7" s="237"/>
      <c r="I7" s="237"/>
      <c r="J7" s="25"/>
      <c r="K7" s="25"/>
      <c r="L7" s="25"/>
      <c r="M7" s="25"/>
      <c r="N7" s="25"/>
      <c r="O7" s="25"/>
    </row>
    <row r="8" spans="1:20" ht="15.6" thickTop="1" thickBot="1" x14ac:dyDescent="0.35">
      <c r="A8" s="32"/>
      <c r="B8" s="289" t="s">
        <v>9</v>
      </c>
      <c r="C8" s="289"/>
      <c r="D8" s="289"/>
      <c r="E8" s="26"/>
      <c r="F8" s="26"/>
      <c r="G8" s="26"/>
      <c r="H8" s="26"/>
      <c r="I8" s="26"/>
      <c r="J8" s="26"/>
      <c r="K8" s="26"/>
      <c r="L8" s="26"/>
      <c r="M8" s="26"/>
      <c r="N8" s="26"/>
      <c r="O8" s="21"/>
    </row>
    <row r="9" spans="1:20" ht="15.6" thickTop="1" thickBot="1" x14ac:dyDescent="0.35">
      <c r="A9" s="26"/>
      <c r="B9" s="21"/>
      <c r="C9" s="21"/>
      <c r="D9" s="21"/>
      <c r="E9" s="21"/>
      <c r="F9" s="21"/>
      <c r="G9" s="21"/>
      <c r="H9" s="21"/>
      <c r="I9" s="21"/>
      <c r="J9" s="21"/>
      <c r="K9" s="21"/>
      <c r="L9" s="37" t="s">
        <v>10</v>
      </c>
      <c r="M9" s="21"/>
      <c r="N9" s="21"/>
      <c r="O9" s="21"/>
      <c r="Q9" s="143"/>
      <c r="R9" s="137" t="s">
        <v>1</v>
      </c>
      <c r="S9" s="137" t="s">
        <v>2</v>
      </c>
    </row>
    <row r="10" spans="1:20" ht="15" thickBot="1" x14ac:dyDescent="0.3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7" t="s">
        <v>11</v>
      </c>
      <c r="L10" s="73">
        <f>IF(AND(G6="camp",M6="State"),R10,IF(AND(G6="Camp",M6="Non-State"),S10,IF(M6="-",0,IF(G6="Day Visit",0,IF(AND(G6="",M6="State"),0,IF(AND(G6="",M6="Non-State"),0))))))</f>
        <v>0</v>
      </c>
      <c r="M10" s="261" t="s">
        <v>30</v>
      </c>
      <c r="N10" s="262"/>
      <c r="O10" s="21"/>
      <c r="Q10" s="137" t="s">
        <v>95</v>
      </c>
      <c r="R10" s="137">
        <v>12</v>
      </c>
      <c r="S10" s="137">
        <v>19.8</v>
      </c>
    </row>
    <row r="11" spans="1:20" ht="15" thickBot="1" x14ac:dyDescent="0.35">
      <c r="A11" s="26"/>
      <c r="B11" s="21"/>
      <c r="C11" s="21"/>
      <c r="D11" s="21" t="str">
        <f>IF(L106&gt;0,"Anomaly-",IF(L106&lt;0,"Anomaly-",""))</f>
        <v/>
      </c>
      <c r="E11" s="303" t="str">
        <f>IF(L106&gt;0,E106,IF(L106&lt;0,E106,""))</f>
        <v/>
      </c>
      <c r="F11" s="303"/>
      <c r="G11" s="303"/>
      <c r="H11" s="303"/>
      <c r="I11" s="303"/>
      <c r="J11" s="303"/>
      <c r="K11" s="27" t="s">
        <v>12</v>
      </c>
      <c r="L11" s="74">
        <f>IF(M6="-",0,IF(AND(G6="Day Visit",M6="Non-State"),S11,IF(AND(G6="Day Visit",M6="State"),R11,IF(G6="Camp",L10*H5,IF(AND(G6="",M6="State"),0,IF(AND(G6="",M6="Non-State"),0,))))))</f>
        <v>0</v>
      </c>
      <c r="M11" s="263">
        <f>(L11*J5+L106)</f>
        <v>0</v>
      </c>
      <c r="N11" s="264"/>
      <c r="O11" s="21"/>
      <c r="Q11" s="137" t="s">
        <v>96</v>
      </c>
      <c r="R11" s="137">
        <v>20</v>
      </c>
      <c r="S11" s="137">
        <v>22</v>
      </c>
    </row>
    <row r="12" spans="1:20" ht="15" thickBot="1" x14ac:dyDescent="0.35">
      <c r="A12" s="25"/>
      <c r="B12" s="25"/>
      <c r="C12" s="25"/>
      <c r="D12" s="26"/>
      <c r="E12" s="26"/>
      <c r="F12" s="26"/>
      <c r="G12" s="26"/>
      <c r="H12" s="26"/>
      <c r="I12" s="26"/>
      <c r="J12" s="26"/>
      <c r="K12" s="27"/>
      <c r="L12" s="40"/>
      <c r="M12" s="266" t="str">
        <f>IF(AND(M11&gt;1,M6="Non-state"),"inc GST","")</f>
        <v/>
      </c>
      <c r="N12" s="266"/>
      <c r="O12" s="21"/>
    </row>
    <row r="13" spans="1:20" ht="15.6" thickTop="1" thickBot="1" x14ac:dyDescent="0.35">
      <c r="A13" s="21"/>
      <c r="B13" s="289" t="s">
        <v>13</v>
      </c>
      <c r="C13" s="289"/>
      <c r="D13" s="217"/>
      <c r="E13" s="218"/>
      <c r="F13" s="218"/>
      <c r="G13" s="218"/>
      <c r="H13" s="30"/>
      <c r="I13" s="30"/>
      <c r="J13" s="30"/>
      <c r="K13" s="30"/>
      <c r="L13" s="30"/>
      <c r="M13" s="21"/>
      <c r="N13" s="21"/>
      <c r="O13" s="30"/>
    </row>
    <row r="14" spans="1:20" ht="15.6" thickTop="1" thickBot="1" x14ac:dyDescent="0.35">
      <c r="A14" s="21"/>
      <c r="B14" s="29"/>
      <c r="C14" s="29"/>
      <c r="D14" s="224" t="s">
        <v>46</v>
      </c>
      <c r="E14" s="225"/>
      <c r="F14" s="225"/>
      <c r="G14" s="225"/>
      <c r="H14" s="26"/>
      <c r="I14" s="26"/>
      <c r="J14" s="26"/>
      <c r="K14" s="26"/>
      <c r="L14" s="26"/>
      <c r="M14" s="21"/>
      <c r="N14" s="21"/>
      <c r="O14" s="21"/>
    </row>
    <row r="15" spans="1:20" ht="15" thickTop="1" x14ac:dyDescent="0.3">
      <c r="A15" s="21"/>
      <c r="B15" s="4"/>
      <c r="C15" s="4"/>
      <c r="D15" s="15"/>
      <c r="E15" s="15"/>
      <c r="F15" s="16" t="s">
        <v>14</v>
      </c>
      <c r="G15" s="43"/>
      <c r="H15" s="43"/>
      <c r="I15" s="43"/>
      <c r="J15" s="43"/>
      <c r="K15" s="43"/>
      <c r="L15" s="43"/>
      <c r="M15" s="21"/>
      <c r="N15" s="21"/>
      <c r="O15" s="21"/>
    </row>
    <row r="16" spans="1:20" ht="16.95" customHeight="1" x14ac:dyDescent="0.3">
      <c r="A16" s="21"/>
      <c r="B16" s="5"/>
      <c r="C16" s="5"/>
      <c r="D16" s="4"/>
      <c r="E16" s="221" t="s">
        <v>16</v>
      </c>
      <c r="F16" s="223" t="s">
        <v>17</v>
      </c>
      <c r="G16" s="221" t="s">
        <v>18</v>
      </c>
      <c r="H16" s="223" t="s">
        <v>19</v>
      </c>
      <c r="I16" s="4"/>
      <c r="J16" s="4"/>
      <c r="K16" s="4"/>
      <c r="L16" s="4"/>
      <c r="M16" s="21"/>
      <c r="N16" s="21"/>
      <c r="O16" s="21"/>
      <c r="Q16" s="193"/>
      <c r="R16" s="379" t="s">
        <v>106</v>
      </c>
      <c r="S16" s="379"/>
      <c r="T16" s="379"/>
    </row>
    <row r="17" spans="1:20" ht="15" thickBot="1" x14ac:dyDescent="0.35">
      <c r="A17" s="21"/>
      <c r="B17" s="4"/>
      <c r="C17" s="6"/>
      <c r="D17" s="4"/>
      <c r="E17" s="222"/>
      <c r="F17" s="223"/>
      <c r="G17" s="221"/>
      <c r="H17" s="223"/>
      <c r="I17" s="4"/>
      <c r="J17" s="4"/>
      <c r="K17" s="4"/>
      <c r="L17" s="4"/>
      <c r="M17" s="21"/>
      <c r="N17" s="21"/>
      <c r="O17" s="21"/>
      <c r="P17" s="114"/>
      <c r="Q17" s="194"/>
      <c r="R17" s="137" t="s">
        <v>91</v>
      </c>
      <c r="S17" s="138" t="s">
        <v>92</v>
      </c>
      <c r="T17" s="138">
        <v>-15</v>
      </c>
    </row>
    <row r="18" spans="1:20" ht="15" thickBot="1" x14ac:dyDescent="0.35">
      <c r="A18" s="21"/>
      <c r="B18" s="214" t="s">
        <v>115</v>
      </c>
      <c r="C18" s="215"/>
      <c r="D18" s="216"/>
      <c r="E18" s="79"/>
      <c r="F18" s="79"/>
      <c r="G18" s="79"/>
      <c r="H18" s="83"/>
      <c r="I18" s="4"/>
      <c r="J18" s="4"/>
      <c r="K18" s="4"/>
      <c r="L18" s="34" t="s">
        <v>20</v>
      </c>
      <c r="M18" s="21"/>
      <c r="N18" s="21"/>
      <c r="O18" s="21"/>
      <c r="Q18" s="200" t="s">
        <v>15</v>
      </c>
      <c r="R18" s="138">
        <v>10</v>
      </c>
      <c r="S18" s="138">
        <v>12</v>
      </c>
      <c r="T18" s="138">
        <v>13</v>
      </c>
    </row>
    <row r="19" spans="1:20" ht="15" thickBot="1" x14ac:dyDescent="0.35">
      <c r="A19" s="21"/>
      <c r="B19" s="87"/>
      <c r="C19" s="87"/>
      <c r="D19" s="88"/>
      <c r="E19" s="75" t="str">
        <f>IF(M6="-","-",IF(AND(M6="State",E18="x",J6&gt;0,J6&lt;15),T19,IF(AND(M6="Non-state",E18="x",J6&gt;0,J6&lt;15),T28,IF(AND(M6="State",E18="x",J6&gt;14,J6&lt;25),S19,IF(AND(M6="Non-state",E18="x",J6&gt;14,J6&lt;25),S28,IF(AND(M6="State",E18="x",J6&gt;24),R19,IF(AND(M6="Non-state",E18="x",J6&gt;24),R28,"-")))))))</f>
        <v>-</v>
      </c>
      <c r="F19" s="75" t="str">
        <f>IF(M6="-","-",IF(AND(M6="State",F18="x",J6&gt;0,J6&lt;15),T20,IF(AND(M6="Non-state",F18="x",J6&gt;0,J6&lt;15),T29,IF(AND(M6="State",F18="x",J6&gt;14,J6&lt;25),S20,IF(AND(M6="Non-state",F18="x",J6&gt;14,J6&lt;25),S29,IF(AND(M6="State",F18="x",J6&gt;24),R20,IF(AND(M6="Non-state",F18="x",J6&gt;24),R29,"-")))))))</f>
        <v>-</v>
      </c>
      <c r="G19" s="75" t="str">
        <f>IF(M6="-","-",IF(AND(M6="State",G18="x",J6&gt;0,J6&lt;15),T21,IF(AND(M6="Non-state",G18="x",J6&gt;0,J6&lt;15),T30,IF(AND(M6="State",G18="x",J6&gt;14,J6&lt;25),S21,IF(AND(M6="Non-state",G18="x",J6&gt;14,J6&lt;25),S30,IF(AND(M6="State",G18="x",J6&gt;24),R21,IF(AND(M6="Non-state",G18="x",J6&gt;24),R30,"-")))))))</f>
        <v>-</v>
      </c>
      <c r="H19" s="75" t="str">
        <f>IF(M6="-","-",IF(AND(M6="State",H18="x",J6&gt;0,J6&lt;15),T22,IF(AND(M6="Non-state",H18="x",J6&gt;0,J6&lt;15),T31,IF(AND(M6="State",H18="x",J6&gt;14,J6&lt;25),S22,IF(AND(M6="Non-state",H18="x",J6&gt;14,J6&lt;25),S31,IF(AND(M6="State",H18="x",J6&gt;24),R22,IF(AND(M6="Non-state",H18="x",J6&gt;24),R31,"-")))))))</f>
        <v>-</v>
      </c>
      <c r="I19" s="89"/>
      <c r="J19" s="87"/>
      <c r="K19" s="90" t="s">
        <v>21</v>
      </c>
      <c r="L19" s="76">
        <f>SUM(E19:H19)</f>
        <v>0</v>
      </c>
      <c r="M19" s="98" t="str">
        <f>IF(AND(L19&gt;1,M6="Non-state"),"inc GST","")</f>
        <v/>
      </c>
      <c r="N19" s="21"/>
      <c r="O19" s="21"/>
      <c r="Q19" s="138" t="s">
        <v>94</v>
      </c>
      <c r="R19" s="138">
        <v>5.5</v>
      </c>
      <c r="S19" s="138">
        <v>6.6</v>
      </c>
      <c r="T19" s="138">
        <v>7.1</v>
      </c>
    </row>
    <row r="20" spans="1:20" ht="15" thickBot="1" x14ac:dyDescent="0.35">
      <c r="A20" s="21"/>
      <c r="B20" s="9"/>
      <c r="C20" s="9"/>
      <c r="D20" s="9"/>
      <c r="E20" s="99"/>
      <c r="F20" s="99"/>
      <c r="G20" s="99"/>
      <c r="H20" s="99"/>
      <c r="I20" s="84"/>
      <c r="J20" s="9"/>
      <c r="K20" s="10"/>
      <c r="L20" s="4"/>
      <c r="M20" s="26"/>
      <c r="N20" s="21"/>
      <c r="O20" s="21"/>
      <c r="Q20" s="138" t="s">
        <v>17</v>
      </c>
      <c r="R20" s="138">
        <v>10</v>
      </c>
      <c r="S20" s="138">
        <v>12</v>
      </c>
      <c r="T20" s="138">
        <v>13</v>
      </c>
    </row>
    <row r="21" spans="1:20" ht="15" thickTop="1" x14ac:dyDescent="0.3">
      <c r="A21" s="21"/>
      <c r="B21" s="11"/>
      <c r="C21" s="11"/>
      <c r="D21" s="14"/>
      <c r="E21" s="14"/>
      <c r="F21" s="18" t="s">
        <v>22</v>
      </c>
      <c r="G21" s="11"/>
      <c r="H21" s="11"/>
      <c r="I21" s="11"/>
      <c r="J21" s="11"/>
      <c r="K21" s="11"/>
      <c r="L21" s="12"/>
      <c r="M21" s="21"/>
      <c r="N21" s="21"/>
      <c r="O21" s="21"/>
      <c r="Q21" s="138" t="s">
        <v>93</v>
      </c>
      <c r="R21" s="138">
        <v>5.5</v>
      </c>
      <c r="S21" s="138">
        <v>6.6</v>
      </c>
      <c r="T21" s="138">
        <v>7.1</v>
      </c>
    </row>
    <row r="22" spans="1:20" x14ac:dyDescent="0.3">
      <c r="A22" s="21"/>
      <c r="B22" s="11"/>
      <c r="C22" s="11"/>
      <c r="D22" s="207" t="s">
        <v>15</v>
      </c>
      <c r="E22" s="221" t="s">
        <v>16</v>
      </c>
      <c r="F22" s="223" t="s">
        <v>17</v>
      </c>
      <c r="G22" s="221" t="s">
        <v>18</v>
      </c>
      <c r="H22" s="223" t="s">
        <v>19</v>
      </c>
      <c r="I22" s="11"/>
      <c r="J22" s="11"/>
      <c r="K22" s="11"/>
      <c r="L22" s="11"/>
      <c r="M22" s="21"/>
      <c r="N22" s="21"/>
      <c r="O22" s="21"/>
      <c r="Q22" s="137" t="s">
        <v>19</v>
      </c>
      <c r="R22" s="137">
        <v>15</v>
      </c>
      <c r="S22" s="137">
        <v>18</v>
      </c>
      <c r="T22" s="137">
        <v>19.5</v>
      </c>
    </row>
    <row r="23" spans="1:20" ht="15" thickBot="1" x14ac:dyDescent="0.35">
      <c r="A23" s="21"/>
      <c r="B23" s="11"/>
      <c r="C23" s="195"/>
      <c r="D23" s="208"/>
      <c r="E23" s="222"/>
      <c r="F23" s="223"/>
      <c r="G23" s="221"/>
      <c r="H23" s="223"/>
      <c r="I23" s="11"/>
      <c r="J23" s="11"/>
      <c r="K23" s="11"/>
      <c r="L23" s="11"/>
      <c r="M23" s="21"/>
      <c r="N23" s="21"/>
      <c r="O23" s="21"/>
    </row>
    <row r="24" spans="1:20" ht="15" thickBot="1" x14ac:dyDescent="0.35">
      <c r="A24" s="21"/>
      <c r="B24" s="11"/>
      <c r="C24" s="132" t="s">
        <v>116</v>
      </c>
      <c r="D24" s="79"/>
      <c r="E24" s="79"/>
      <c r="F24" s="79"/>
      <c r="G24" s="79"/>
      <c r="H24" s="79"/>
      <c r="I24" s="11"/>
      <c r="J24" s="11"/>
      <c r="K24" s="11"/>
      <c r="L24" s="34" t="s">
        <v>20</v>
      </c>
      <c r="M24" s="21"/>
      <c r="N24" s="21"/>
      <c r="O24" s="21"/>
    </row>
    <row r="25" spans="1:20" ht="15" thickBot="1" x14ac:dyDescent="0.35">
      <c r="A25" s="21"/>
      <c r="B25" s="91"/>
      <c r="C25" s="92"/>
      <c r="D25" s="190" t="str">
        <f>IF(M6="-","-",IF(AND(M6="State",D24="x",J6&gt;0,J6&lt;15),T18,IF(AND(M6="Non-state",D24="x",J6&gt;0,J6&lt;15),T27,IF(AND(M6="State",D24="x",J6&gt;14,J6&lt;25),S18,IF(AND(M6="Non-state",D24="x",J6&gt;14,J6&lt;25),S27,IF(AND(M6="State",D24="x",J6&gt;24),R18,IF(AND(M6="Non-state",D24="x",J6&gt;24),R27,"-")))))))</f>
        <v>-</v>
      </c>
      <c r="E25" s="76" t="str">
        <f>IF(M6="-","-",IF(AND(M6="State",E24="x",J6&gt;0,J6&lt;15),T19,IF(AND(M6="Non-state",E24="x",J6&gt;0,J6&lt;15),T28,IF(AND(M6="State",E24="x",J6&gt;14,J6&lt;25),S19,IF(AND(M6="Non-state",E24="x",J6&gt;14,J6&lt;25),S28,IF(AND(M6="State",E24="x",J6&gt;24),R19,IF(AND(M6="Non-state",E24="x",J6&gt;24),R28,"-")))))))</f>
        <v>-</v>
      </c>
      <c r="F25" s="76" t="str">
        <f>IF(M6="-","-",IF(AND(M6="State",F24="x",J6&gt;0,J6&lt;15),T20,IF(AND(M6="Non-state",F24="x",J6&gt;0,J6&lt;15),T29,IF(AND(M6="State",F24="x",J6&gt;14,J6&lt;25),S20,IF(AND(M6="Non-state",F24="x",J6&gt;14,J6&lt;25),S29,IF(AND(M6="State",F24="x",J6&gt;24),R20,IF(AND(M6="Non-state",F24="x",J6&gt;24),R29,"-")))))))</f>
        <v>-</v>
      </c>
      <c r="G25" s="76" t="str">
        <f>IF(M6="-","-",IF(AND(M6="State",G24="x",J6&gt;0,J6&lt;15),T21,IF(AND(M6="Non-state",G24="x",J6&gt;0,J6&lt;15),T30,IF(AND(M6="State",G24="x",J6&gt;14,J6&lt;25),S21,IF(AND(M6="Non-state",G24="x",J6&gt;14,J6&lt;25),S30,IF(AND(M6="State",G24="x",J6&gt;24),R21,IF(AND(M6="Non-state",G24="x",J6&gt;24),R30,"-")))))))</f>
        <v>-</v>
      </c>
      <c r="H25" s="76" t="str">
        <f>IF(M6="-","-",IF(AND(M6="State",H24="x",J6&gt;0,J6&lt;15),T22,IF(AND(M6="Non-state",H24="x",J6&gt;0,J6&lt;15),T31,IF(AND(M6="State",H24="x",J6&gt;14,J6&lt;25),S22,IF(AND(M6="Non-state",H24="x",J6&gt;14,J6&lt;25),S31,IF(AND(M6="State",H24="x",J6&gt;24),R22,IF(AND(M6="Non-state",H24="x",J6&gt;24),R31,"-")))))))</f>
        <v>-</v>
      </c>
      <c r="I25" s="93"/>
      <c r="J25" s="91"/>
      <c r="K25" s="94" t="s">
        <v>26</v>
      </c>
      <c r="L25" s="76">
        <f>SUM(D25:H25)</f>
        <v>0</v>
      </c>
      <c r="M25" s="97" t="str">
        <f>IF(AND(L25&gt;1,M6="Non-state"),"inc GST","")</f>
        <v/>
      </c>
      <c r="N25" s="21"/>
      <c r="O25" s="21"/>
      <c r="Q25" s="193"/>
      <c r="R25" s="379" t="s">
        <v>105</v>
      </c>
      <c r="S25" s="379"/>
      <c r="T25" s="379"/>
    </row>
    <row r="26" spans="1:20" ht="15" thickBot="1" x14ac:dyDescent="0.35">
      <c r="A26" s="21"/>
      <c r="B26" s="101"/>
      <c r="C26" s="296"/>
      <c r="D26" s="297"/>
      <c r="E26" s="100"/>
      <c r="F26" s="100"/>
      <c r="G26" s="100"/>
      <c r="H26" s="100"/>
      <c r="I26" s="101"/>
      <c r="J26" s="101"/>
      <c r="K26" s="102"/>
      <c r="L26" s="103"/>
      <c r="M26" s="21"/>
      <c r="N26" s="21"/>
      <c r="O26" s="21"/>
      <c r="Q26" s="194"/>
      <c r="R26" s="137" t="s">
        <v>91</v>
      </c>
      <c r="S26" s="138" t="s">
        <v>92</v>
      </c>
      <c r="T26" s="138">
        <v>-15</v>
      </c>
    </row>
    <row r="27" spans="1:20" ht="15" thickTop="1" x14ac:dyDescent="0.3">
      <c r="A27" s="21"/>
      <c r="B27" s="4"/>
      <c r="C27" s="4"/>
      <c r="D27" s="5"/>
      <c r="E27" s="5"/>
      <c r="F27" s="17" t="s">
        <v>23</v>
      </c>
      <c r="G27" s="4"/>
      <c r="H27" s="4"/>
      <c r="I27" s="4"/>
      <c r="J27" s="4"/>
      <c r="K27" s="4"/>
      <c r="L27" s="4"/>
      <c r="M27" s="21"/>
      <c r="N27" s="21"/>
      <c r="O27" s="21"/>
      <c r="Q27" s="200" t="s">
        <v>15</v>
      </c>
      <c r="R27" s="138">
        <f t="shared" ref="R27:T31" si="0">PRODUCT(R18,1.1)</f>
        <v>11</v>
      </c>
      <c r="S27" s="138">
        <f t="shared" si="0"/>
        <v>13.200000000000001</v>
      </c>
      <c r="T27" s="138">
        <f t="shared" si="0"/>
        <v>14.3</v>
      </c>
    </row>
    <row r="28" spans="1:20" x14ac:dyDescent="0.3">
      <c r="A28" s="21"/>
      <c r="B28" s="4"/>
      <c r="C28" s="4"/>
      <c r="D28" s="207" t="s">
        <v>15</v>
      </c>
      <c r="E28" s="221" t="s">
        <v>16</v>
      </c>
      <c r="F28" s="223" t="s">
        <v>17</v>
      </c>
      <c r="G28" s="221" t="s">
        <v>18</v>
      </c>
      <c r="H28" s="223" t="s">
        <v>19</v>
      </c>
      <c r="I28" s="4"/>
      <c r="J28" s="4"/>
      <c r="K28" s="4"/>
      <c r="L28" s="4"/>
      <c r="M28" s="21"/>
      <c r="N28" s="21"/>
      <c r="O28" s="21"/>
      <c r="Q28" s="138" t="s">
        <v>94</v>
      </c>
      <c r="R28" s="138">
        <f t="shared" si="0"/>
        <v>6.0500000000000007</v>
      </c>
      <c r="S28" s="138">
        <f t="shared" si="0"/>
        <v>7.26</v>
      </c>
      <c r="T28" s="138">
        <f t="shared" si="0"/>
        <v>7.8100000000000005</v>
      </c>
    </row>
    <row r="29" spans="1:20" ht="15" thickBot="1" x14ac:dyDescent="0.35">
      <c r="A29" s="21"/>
      <c r="B29" s="87"/>
      <c r="C29" s="196"/>
      <c r="D29" s="208"/>
      <c r="E29" s="222"/>
      <c r="F29" s="223"/>
      <c r="G29" s="221"/>
      <c r="H29" s="223"/>
      <c r="I29" s="4"/>
      <c r="J29" s="4"/>
      <c r="K29" s="4"/>
      <c r="L29" s="4"/>
      <c r="M29" s="21"/>
      <c r="N29" s="21"/>
      <c r="O29" s="21"/>
      <c r="Q29" s="138" t="s">
        <v>17</v>
      </c>
      <c r="R29" s="138">
        <f t="shared" si="0"/>
        <v>11</v>
      </c>
      <c r="S29" s="138">
        <f t="shared" si="0"/>
        <v>13.200000000000001</v>
      </c>
      <c r="T29" s="138">
        <f t="shared" si="0"/>
        <v>14.3</v>
      </c>
    </row>
    <row r="30" spans="1:20" ht="15" thickBot="1" x14ac:dyDescent="0.35">
      <c r="A30" s="21"/>
      <c r="B30" s="4"/>
      <c r="C30" s="133" t="s">
        <v>34</v>
      </c>
      <c r="D30" s="79"/>
      <c r="E30" s="79"/>
      <c r="F30" s="79"/>
      <c r="G30" s="79"/>
      <c r="H30" s="79"/>
      <c r="I30" s="4"/>
      <c r="J30" s="4"/>
      <c r="K30" s="4"/>
      <c r="L30" s="34" t="s">
        <v>20</v>
      </c>
      <c r="M30" s="21"/>
      <c r="N30" s="21"/>
      <c r="O30" s="21"/>
      <c r="Q30" s="138" t="s">
        <v>93</v>
      </c>
      <c r="R30" s="138">
        <f t="shared" si="0"/>
        <v>6.0500000000000007</v>
      </c>
      <c r="S30" s="138">
        <f t="shared" si="0"/>
        <v>7.26</v>
      </c>
      <c r="T30" s="138">
        <f t="shared" si="0"/>
        <v>7.8100000000000005</v>
      </c>
    </row>
    <row r="31" spans="1:20" ht="15" thickBot="1" x14ac:dyDescent="0.35">
      <c r="A31" s="21"/>
      <c r="B31" s="4"/>
      <c r="C31" s="88"/>
      <c r="D31" s="190" t="str">
        <f>IF(M6="-","-",IF(AND(M6="State",D30="x",J6&gt;0,J6&lt;15),T18,IF(AND(M6="Non-state",D30="x",J6&gt;0,J6&lt;15),T27,IF(AND(M6="State",D30="x",J6&gt;14,J6&lt;25),S18,IF(AND(M6="Non-state",D30="x",J6&gt;14,J6&lt;25),S27,IF(AND(M6="State",D30="x",J6&gt;24),R18,IF(AND(M6="Non-state",D30="x",J6&gt;24),R27,"-")))))))</f>
        <v>-</v>
      </c>
      <c r="E31" s="76" t="str">
        <f>IF(M6="-","-",IF(AND(M6="State",E30="x",J6&gt;0,J6&lt;15),T19,IF(AND(M6="Non-state",E30="x",J6&gt;0,J6&lt;15),T28,IF(AND(M6="State",E30="x",J6&gt;14,J6&lt;25),S19,IF(AND(M6="Non-state",E30="x",J6&gt;14,J6&lt;25),S28,IF(AND(M6="State",E30="x",J6&gt;24),R19,IF(AND(M6="Non-state",E30="x",J6&gt;24),R28,"-")))))))</f>
        <v>-</v>
      </c>
      <c r="F31" s="76" t="str">
        <f>IF(M6="-","-",IF(AND(M6="State",F30="x",J6&gt;0,J6&lt;15),T20,IF(AND(M6="Non-state",F30="x",J6&gt;0,J6&lt;15),T29,IF(AND(M6="State",F30="x",J6&gt;14,J6&lt;25),S20,IF(AND(M6="Non-state",F30="x",J6&gt;14,J6&lt;25),S29,IF(AND(M6="State",F30="x",J6&gt;24),R20,IF(AND(M6="Non-state",F30="x",J6&gt;24),R29,"-")))))))</f>
        <v>-</v>
      </c>
      <c r="G31" s="76" t="str">
        <f>IF(M6="-","-",IF(AND(M6="State",G30="x",J6&gt;0,J6&lt;15),T21,IF(AND(M6="Non-state",G30="x",J6&gt;0,J6&lt;15),T30,IF(AND(M6="State",G30="x",J6&gt;14,J6&lt;25),S21,IF(AND(M6="Non-state",G30="x",J6&gt;14,J6&lt;25),S30,IF(AND(M6="State",G30="x",J6&gt;24),R21,IF(AND(M6="Non-state",G30="x",J6&gt;24),R30,"-")))))))</f>
        <v>-</v>
      </c>
      <c r="H31" s="76" t="str">
        <f>IF(M6="-","-",IF(AND(M6="State",H30="x",J6&gt;0,J6&lt;15),T22,IF(AND(M6="Non-state",H30="x",J6&gt;0,J6&lt;15),T31,IF(AND(M6="State",H30="x",J6&gt;14,J6&lt;25),S22,IF(AND(M6="Non-state",H30="x",J6&gt;14,J6&lt;25),S31,IF(AND(M6="State",H30="x",J6&gt;24),R22,IF(AND(M6="Non-state",H30="x",J6&gt;24),R31,"-")))))))</f>
        <v>-</v>
      </c>
      <c r="I31" s="95"/>
      <c r="J31" s="87"/>
      <c r="K31" s="90" t="s">
        <v>27</v>
      </c>
      <c r="L31" s="76">
        <f>SUM(D31:H31)</f>
        <v>0</v>
      </c>
      <c r="M31" s="97" t="str">
        <f>IF(AND(L31&gt;1,M6="Non-state"),"inc GST","")</f>
        <v/>
      </c>
      <c r="N31" s="21"/>
      <c r="O31" s="21"/>
      <c r="Q31" s="137" t="s">
        <v>19</v>
      </c>
      <c r="R31" s="138">
        <f t="shared" si="0"/>
        <v>16.5</v>
      </c>
      <c r="S31" s="138">
        <f t="shared" si="0"/>
        <v>19.8</v>
      </c>
      <c r="T31" s="138">
        <f t="shared" si="0"/>
        <v>21.450000000000003</v>
      </c>
    </row>
    <row r="32" spans="1:20" ht="15" thickBot="1" x14ac:dyDescent="0.35">
      <c r="A32" s="21"/>
      <c r="B32" s="105"/>
      <c r="C32" s="298"/>
      <c r="D32" s="299"/>
      <c r="E32" s="104"/>
      <c r="F32" s="104"/>
      <c r="G32" s="104"/>
      <c r="H32" s="104"/>
      <c r="I32" s="105"/>
      <c r="J32" s="105"/>
      <c r="K32" s="106"/>
      <c r="L32" s="107"/>
      <c r="M32" s="21"/>
      <c r="N32" s="21"/>
      <c r="O32" s="21"/>
    </row>
    <row r="33" spans="1:16" ht="15" thickTop="1" x14ac:dyDescent="0.3">
      <c r="A33" s="21"/>
      <c r="B33" s="91"/>
      <c r="C33" s="11"/>
      <c r="D33" s="13"/>
      <c r="E33" s="13"/>
      <c r="F33" s="19" t="s">
        <v>24</v>
      </c>
      <c r="G33" s="11"/>
      <c r="H33" s="11"/>
      <c r="I33" s="11"/>
      <c r="J33" s="11"/>
      <c r="K33" s="11"/>
      <c r="L33" s="11"/>
      <c r="M33" s="21"/>
      <c r="N33" s="21"/>
      <c r="O33" s="21"/>
    </row>
    <row r="34" spans="1:16" x14ac:dyDescent="0.3">
      <c r="A34" s="21"/>
      <c r="B34" s="11"/>
      <c r="C34" s="197"/>
      <c r="D34" s="207" t="s">
        <v>15</v>
      </c>
      <c r="E34" s="221" t="s">
        <v>16</v>
      </c>
      <c r="F34" s="223" t="s">
        <v>17</v>
      </c>
      <c r="G34" s="221" t="s">
        <v>18</v>
      </c>
      <c r="H34" s="223" t="s">
        <v>19</v>
      </c>
      <c r="I34" s="11"/>
      <c r="J34" s="11"/>
      <c r="K34" s="11"/>
      <c r="L34" s="11"/>
      <c r="M34" s="21"/>
      <c r="N34" s="21"/>
      <c r="O34" s="21"/>
    </row>
    <row r="35" spans="1:16" ht="15" thickBot="1" x14ac:dyDescent="0.35">
      <c r="A35" s="21"/>
      <c r="B35" s="91"/>
      <c r="C35" s="198"/>
      <c r="D35" s="208"/>
      <c r="E35" s="222"/>
      <c r="F35" s="223"/>
      <c r="G35" s="221"/>
      <c r="H35" s="223"/>
      <c r="I35" s="11"/>
      <c r="J35" s="11"/>
      <c r="K35" s="11"/>
      <c r="L35" s="11"/>
      <c r="M35" s="21"/>
      <c r="N35" s="21"/>
      <c r="O35" s="21"/>
    </row>
    <row r="36" spans="1:16" ht="15" thickBot="1" x14ac:dyDescent="0.35">
      <c r="A36" s="21"/>
      <c r="B36" s="11"/>
      <c r="C36" s="132" t="s">
        <v>65</v>
      </c>
      <c r="D36" s="79"/>
      <c r="E36" s="79"/>
      <c r="F36" s="79"/>
      <c r="G36" s="79"/>
      <c r="H36" s="79"/>
      <c r="I36" s="11"/>
      <c r="J36" s="11"/>
      <c r="K36" s="11"/>
      <c r="L36" s="34" t="s">
        <v>20</v>
      </c>
      <c r="M36" s="21"/>
      <c r="N36" s="21"/>
      <c r="O36" s="21"/>
    </row>
    <row r="37" spans="1:16" ht="15" thickBot="1" x14ac:dyDescent="0.35">
      <c r="A37" s="21"/>
      <c r="B37" s="91"/>
      <c r="C37" s="11"/>
      <c r="D37" s="190" t="str">
        <f>IF(M6="-","-",IF(AND(M6="State",D36="x",J6&gt;0,J6&lt;15),T18,IF(AND(M6="Non-state",D36="x",J6&gt;0,J6&lt;15),T27,IF(AND(M6="State",D36="x",J6&gt;14,J6&lt;25),S18,IF(AND(M6="Non-state",D36="x",J6&gt;14,J6&lt;25),S27,IF(AND(M6="State",D36="x",J6&gt;24),R18,IF(AND(M6="Non-state",D36="x",J6&gt;24),R27,"-")))))))</f>
        <v>-</v>
      </c>
      <c r="E37" s="76" t="str">
        <f>IF(M6="-","-",IF(AND(M6="State",E36="x",J6&gt;0,J6&lt;15),T19,IF(AND(M6="Non-state",E36="x",J6&gt;0,J6&lt;15),T28,IF(AND(M6="State",E36="x",J6&gt;14,J6&lt;25),S19,IF(AND(M6="Non-state",E36="x",J6&gt;14,J6&lt;25),S28,IF(AND(M6="State",E36="x",J6&gt;24),R19,IF(AND(M6="Non-state",E36="x",J6&gt;24),R28,"-")))))))</f>
        <v>-</v>
      </c>
      <c r="F37" s="76" t="str">
        <f>IF(M6="-","-",IF(AND(M6="State",F36="x",J6&gt;0,J6&lt;15),T20,IF(AND(M6="Non-state",F36="x",J6&gt;0,J6&lt;15),T29,IF(AND(M6="State",F36="x",J6&gt;14,J6&lt;25),S20,IF(AND(M6="Non-state",F36="x",J6&gt;14,J6&lt;25),S29,IF(AND(M6="State",F36="x",J6&gt;24),R20,IF(AND(M6="Non-state",F36="x",J6&gt;24),R29,"-")))))))</f>
        <v>-</v>
      </c>
      <c r="G37" s="76" t="str">
        <f>IF(M6="-","-",IF(AND(M6="State",G36="x",J6&gt;0,J6&lt;15),T21,IF(AND(M6="Non-state",G36="x",J6&gt;0,J6&lt;15),T30,IF(AND(M6="State",G36="x",J6&gt;14,J6&lt;25),S21,IF(AND(M6="Non-state",G36="x",J6&gt;14,J6&lt;25),S30,IF(AND(M6="State",G36="x",J6&gt;24),R21,IF(AND(M6="Non-state",G36="x",J6&gt;24),R30,"-")))))))</f>
        <v>-</v>
      </c>
      <c r="H37" s="76" t="str">
        <f>IF(M6="-","-",IF(AND(M6="State",H36="x",J6&gt;0,J6&lt;15),T22,IF(AND(M6="Non-state",H36="x",J6&gt;0,J6&lt;15),T31,IF(AND(M6="State",H36="x",J6&gt;14,J6&lt;25),S22,IF(AND(M6="Non-state",H36="x",J6&gt;14,J6&lt;25),S31,IF(AND(M6="State",H36="x",J6&gt;24),R22,IF(AND(M6="Non-state",H36="x",J6&gt;24),R31,"-")))))))</f>
        <v>-</v>
      </c>
      <c r="I37" s="93"/>
      <c r="J37" s="91"/>
      <c r="K37" s="94" t="s">
        <v>28</v>
      </c>
      <c r="L37" s="76">
        <f>SUM(D37:H37)</f>
        <v>0</v>
      </c>
      <c r="M37" s="97" t="str">
        <f>IF(AND(L37&gt;1,M6="Non-state"),"inc GST","")</f>
        <v/>
      </c>
      <c r="N37" s="21"/>
      <c r="O37" s="21"/>
    </row>
    <row r="38" spans="1:16" ht="15" thickBot="1" x14ac:dyDescent="0.35">
      <c r="A38" s="21"/>
      <c r="B38" s="101"/>
      <c r="C38" s="296"/>
      <c r="D38" s="296"/>
      <c r="E38" s="100"/>
      <c r="F38" s="100"/>
      <c r="G38" s="100"/>
      <c r="H38" s="100"/>
      <c r="I38" s="101"/>
      <c r="J38" s="101"/>
      <c r="K38" s="102"/>
      <c r="L38" s="103"/>
      <c r="M38" s="21"/>
      <c r="N38" s="21"/>
      <c r="O38" s="21"/>
      <c r="P38" s="114"/>
    </row>
    <row r="39" spans="1:16" ht="15" thickTop="1" x14ac:dyDescent="0.3">
      <c r="A39" s="21"/>
      <c r="B39" s="87"/>
      <c r="C39" s="4"/>
      <c r="D39" s="5"/>
      <c r="E39" s="5"/>
      <c r="F39" s="17" t="s">
        <v>25</v>
      </c>
      <c r="G39" s="4"/>
      <c r="H39" s="4"/>
      <c r="I39" s="4"/>
      <c r="J39" s="4"/>
      <c r="K39" s="4"/>
      <c r="L39" s="4"/>
      <c r="M39" s="21"/>
      <c r="N39" s="21"/>
      <c r="O39" s="21"/>
      <c r="P39" s="114"/>
    </row>
    <row r="40" spans="1:16" x14ac:dyDescent="0.3">
      <c r="A40" s="21"/>
      <c r="B40" s="4"/>
      <c r="C40" s="199"/>
      <c r="D40" s="207" t="s">
        <v>15</v>
      </c>
      <c r="E40" s="221" t="s">
        <v>16</v>
      </c>
      <c r="F40" s="223" t="s">
        <v>17</v>
      </c>
      <c r="G40" s="221" t="s">
        <v>18</v>
      </c>
      <c r="H40" s="4"/>
      <c r="I40" s="4"/>
      <c r="J40" s="4"/>
      <c r="K40" s="4"/>
      <c r="L40" s="4"/>
      <c r="M40" s="21"/>
      <c r="N40" s="21"/>
      <c r="O40" s="21"/>
    </row>
    <row r="41" spans="1:16" ht="15" thickBot="1" x14ac:dyDescent="0.35">
      <c r="A41" s="21"/>
      <c r="B41" s="4"/>
      <c r="C41" s="196"/>
      <c r="D41" s="208"/>
      <c r="E41" s="222"/>
      <c r="F41" s="223"/>
      <c r="G41" s="221"/>
      <c r="H41" s="4"/>
      <c r="I41" s="4"/>
      <c r="J41" s="4"/>
      <c r="K41" s="4"/>
      <c r="L41" s="4"/>
      <c r="M41" s="21"/>
      <c r="N41" s="21"/>
      <c r="O41" s="21"/>
    </row>
    <row r="42" spans="1:16" ht="15" thickBot="1" x14ac:dyDescent="0.35">
      <c r="A42" s="21"/>
      <c r="B42" s="4"/>
      <c r="C42" s="133" t="s">
        <v>65</v>
      </c>
      <c r="D42" s="79"/>
      <c r="E42" s="79"/>
      <c r="F42" s="79"/>
      <c r="G42" s="79"/>
      <c r="H42" s="4"/>
      <c r="I42" s="4"/>
      <c r="J42" s="4"/>
      <c r="K42" s="4"/>
      <c r="L42" s="34" t="s">
        <v>20</v>
      </c>
      <c r="M42" s="21"/>
      <c r="N42" s="21"/>
      <c r="O42" s="21"/>
    </row>
    <row r="43" spans="1:16" ht="15" thickBot="1" x14ac:dyDescent="0.35">
      <c r="A43" s="21"/>
      <c r="B43" s="87"/>
      <c r="C43" s="88"/>
      <c r="D43" s="190" t="str">
        <f>IF(M6="-","-",IF(AND(M6="State",D42="x",J6&gt;0,J6&lt;15),T18,IF(AND(M6="Non-state",D42="x",J6&gt;0,J6&lt;15),T27,IF(AND(M6="State",D42="x",J6&gt;14,J6&lt;25),S18,IF(AND(M6="Non-state",D42="x",J6&gt;14,J6&lt;25),S27,IF(AND(M6="State",D42="x",J6&gt;24),R18,IF(AND(M6="Non-state",D42="x",J6&gt;24),R27,"-")))))))</f>
        <v>-</v>
      </c>
      <c r="E43" s="76" t="str">
        <f>IF(M6="-","-",IF(AND(M6="State",E42="x",J6&gt;0,J6&lt;15),T19,IF(AND(M6="Non-state",E42="x",J6&gt;0,J6&lt;15),T28,IF(AND(M6="State",E42="x",J6&gt;14,J6&lt;25),S19,IF(AND(M6="Non-state",E42="x",J6&gt;14,J6&lt;25),S28,IF(AND(M6="State",E42="x",J6&gt;24),R19,IF(AND(M6="Non-state",E42="x",J6&gt;24),R28,"-")))))))</f>
        <v>-</v>
      </c>
      <c r="F43" s="76" t="str">
        <f>IF(M6="-","-",IF(AND(M6="State",F42="x",J6&gt;0,J6&lt;15),T20,IF(AND(M6="Non-state",F42="x",J6&gt;0,J6&lt;15),T29,IF(AND(M6="State",F42="x",J6&gt;14,J6&lt;25),S20,IF(AND(M6="Non-state",F42="x",J6&gt;14,J6&lt;25),S29,IF(AND(M6="State",F42="x",J6&gt;24),R20,IF(AND(M6="Non-state",F42="x",J6&gt;24),R29,"-")))))))</f>
        <v>-</v>
      </c>
      <c r="G43" s="76" t="str">
        <f>IF(M6="-","-",IF(AND(M6="State",G42="x",J6&gt;0,J6&lt;15),T21,IF(AND(M6="Non-state",G42="x",J6&gt;0,J6&lt;15),T30,IF(AND(M6="State",G42="x",J6&gt;14,J6&lt;25),S21,IF(AND(M6="Non-state",G42="x",J6&gt;14,J6&lt;25),S30,IF(AND(M6="State",G42="x",J6&gt;24),R21,IF(AND(M6="Non-state",G42="x",J6&gt;24),R30,"-")))))))</f>
        <v>-</v>
      </c>
      <c r="H43" s="95"/>
      <c r="I43" s="87"/>
      <c r="J43" s="87"/>
      <c r="K43" s="90" t="s">
        <v>29</v>
      </c>
      <c r="L43" s="80">
        <f>SUM(D43:G43)</f>
        <v>0</v>
      </c>
      <c r="M43" s="96" t="str">
        <f>IF(AND(L43&gt;1,M6="Non-state"),"inc GST","")</f>
        <v/>
      </c>
      <c r="N43" s="21"/>
      <c r="O43" s="21"/>
    </row>
    <row r="44" spans="1:16" ht="15" thickBot="1" x14ac:dyDescent="0.35">
      <c r="A44" s="21"/>
      <c r="B44" s="105"/>
      <c r="C44" s="298"/>
      <c r="D44" s="298"/>
      <c r="E44" s="104"/>
      <c r="F44" s="104"/>
      <c r="G44" s="104"/>
      <c r="H44" s="105"/>
      <c r="I44" s="105"/>
      <c r="J44" s="105"/>
      <c r="K44" s="106"/>
      <c r="L44" s="108"/>
      <c r="M44" s="82"/>
      <c r="N44" s="21"/>
      <c r="O44" s="21"/>
    </row>
    <row r="45" spans="1:16" ht="15.6" thickTop="1" thickBot="1" x14ac:dyDescent="0.3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7"/>
      <c r="L45" s="26"/>
      <c r="M45" s="26"/>
      <c r="N45" s="26"/>
      <c r="O45" s="21"/>
    </row>
    <row r="46" spans="1:16" ht="15" thickBot="1" x14ac:dyDescent="0.3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7"/>
      <c r="L46" s="81" t="s">
        <v>20</v>
      </c>
      <c r="M46" s="265" t="s">
        <v>30</v>
      </c>
      <c r="N46" s="265"/>
      <c r="O46" s="21"/>
    </row>
    <row r="47" spans="1:16" ht="15" thickBot="1" x14ac:dyDescent="0.35">
      <c r="A47" s="26"/>
      <c r="B47" s="26"/>
      <c r="C47" s="26"/>
      <c r="D47" s="26" t="str">
        <f>IF(L107&gt;0,"Anomaly-",IF(L107&lt;0,"Anomaly-",""))</f>
        <v/>
      </c>
      <c r="E47" s="304" t="str">
        <f>IF(L107&gt;0,E107,IF(L107&lt;0,E107,""))</f>
        <v/>
      </c>
      <c r="F47" s="304"/>
      <c r="G47" s="304"/>
      <c r="H47" s="304"/>
      <c r="I47" s="304"/>
      <c r="J47" s="304"/>
      <c r="K47" s="27" t="s">
        <v>33</v>
      </c>
      <c r="L47" s="80">
        <f>(L19+L25+L31+L37+L43)</f>
        <v>0</v>
      </c>
      <c r="M47" s="211">
        <f>(L47*J6)+L107</f>
        <v>0</v>
      </c>
      <c r="N47" s="211"/>
      <c r="O47" s="21"/>
    </row>
    <row r="48" spans="1:16" ht="15" thickBot="1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8"/>
      <c r="L48" s="109"/>
      <c r="M48" s="237" t="str">
        <f>IF(AND(M47&gt;1,M6="Non-state"),"inc GST","")</f>
        <v/>
      </c>
      <c r="N48" s="237"/>
      <c r="O48" s="25"/>
    </row>
    <row r="49" spans="1:35" ht="13.95" customHeight="1" thickTop="1" thickBot="1" x14ac:dyDescent="0.35">
      <c r="A49" s="21"/>
      <c r="B49" s="226" t="s">
        <v>31</v>
      </c>
      <c r="C49" s="227"/>
      <c r="D49" s="21"/>
      <c r="E49" s="21"/>
      <c r="F49" s="21"/>
      <c r="G49" s="21"/>
      <c r="H49" s="21"/>
      <c r="I49" s="21"/>
      <c r="J49" s="26"/>
      <c r="K49" s="21"/>
      <c r="L49" s="21"/>
      <c r="M49" s="21"/>
      <c r="N49" s="21"/>
      <c r="O49" s="21"/>
      <c r="Q49" s="139"/>
      <c r="R49" s="139"/>
      <c r="S49" s="139"/>
    </row>
    <row r="50" spans="1:35" ht="15.6" customHeight="1" thickTop="1" thickBot="1" x14ac:dyDescent="0.35">
      <c r="A50" s="21"/>
      <c r="B50" s="21"/>
      <c r="C50" s="21"/>
      <c r="D50" s="21"/>
      <c r="E50" s="290" t="s">
        <v>47</v>
      </c>
      <c r="F50" s="291"/>
      <c r="G50" s="291"/>
      <c r="H50" s="294"/>
      <c r="I50" s="24"/>
      <c r="J50" s="24"/>
      <c r="K50" s="21"/>
      <c r="L50" s="35" t="s">
        <v>20</v>
      </c>
      <c r="M50" s="257" t="s">
        <v>30</v>
      </c>
      <c r="N50" s="258"/>
      <c r="O50" s="21"/>
      <c r="Q50" s="137" t="s">
        <v>1</v>
      </c>
      <c r="R50" s="137" t="s">
        <v>2</v>
      </c>
    </row>
    <row r="51" spans="1:35" ht="15" thickBot="1" x14ac:dyDescent="0.35">
      <c r="A51" s="26"/>
      <c r="B51" s="26"/>
      <c r="C51" s="26"/>
      <c r="D51" s="44"/>
      <c r="E51" s="292"/>
      <c r="F51" s="293"/>
      <c r="G51" s="293"/>
      <c r="H51" s="295"/>
      <c r="I51" s="24"/>
      <c r="J51" s="24"/>
      <c r="K51" s="26"/>
      <c r="L51" s="76">
        <f>IF(AND(M6="State",H50&gt;0),Q51,IF(AND(M6="Non-State",H50&gt;0),R51,0))</f>
        <v>0</v>
      </c>
      <c r="M51" s="273">
        <f>(L51*H50)</f>
        <v>0</v>
      </c>
      <c r="N51" s="274"/>
      <c r="O51" s="21"/>
      <c r="Q51" s="137">
        <v>25</v>
      </c>
      <c r="R51" s="137">
        <v>27.5</v>
      </c>
      <c r="S51" s="139"/>
    </row>
    <row r="52" spans="1:35" ht="15" thickBot="1" x14ac:dyDescent="0.35">
      <c r="A52" s="25"/>
      <c r="B52" s="25"/>
      <c r="C52" s="25"/>
      <c r="D52" s="25"/>
      <c r="E52" s="45"/>
      <c r="F52" s="45"/>
      <c r="G52" s="45"/>
      <c r="H52" s="46"/>
      <c r="I52" s="47"/>
      <c r="J52" s="47"/>
      <c r="K52" s="25"/>
      <c r="L52" s="25"/>
      <c r="M52" s="266" t="str">
        <f>IF(AND(M51&gt;1,M6="Non-state"),"inc GST","")</f>
        <v/>
      </c>
      <c r="N52" s="266"/>
      <c r="O52" s="25"/>
      <c r="Q52" s="63"/>
      <c r="R52" s="63"/>
      <c r="S52" s="39"/>
      <c r="T52" s="39"/>
      <c r="U52" s="39"/>
      <c r="V52" s="39"/>
      <c r="W52" s="39"/>
      <c r="X52" s="39"/>
    </row>
    <row r="53" spans="1:35" ht="15.6" thickTop="1" thickBot="1" x14ac:dyDescent="0.35">
      <c r="A53" s="21"/>
      <c r="B53" s="249" t="s">
        <v>32</v>
      </c>
      <c r="C53" s="250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Q53" s="63"/>
      <c r="R53" s="63"/>
      <c r="S53" s="39"/>
      <c r="T53" s="39"/>
      <c r="U53" s="39"/>
      <c r="V53" s="39"/>
      <c r="W53" s="39"/>
      <c r="X53" s="39"/>
    </row>
    <row r="54" spans="1:35" ht="15.6" thickTop="1" thickBot="1" x14ac:dyDescent="0.35">
      <c r="A54" s="21"/>
      <c r="B54" s="21"/>
      <c r="C54" s="21"/>
      <c r="D54" s="384" t="s">
        <v>60</v>
      </c>
      <c r="E54" s="384"/>
      <c r="F54" s="384"/>
      <c r="G54" s="384"/>
      <c r="H54" s="384"/>
      <c r="I54" s="384"/>
      <c r="J54" s="384"/>
      <c r="K54" s="384"/>
      <c r="L54" s="21"/>
      <c r="M54" s="21"/>
      <c r="N54" s="21"/>
      <c r="O54" s="21"/>
      <c r="W54" s="39"/>
      <c r="X54" s="39"/>
    </row>
    <row r="55" spans="1:35" ht="14.4" customHeight="1" thickBot="1" x14ac:dyDescent="0.35">
      <c r="A55" s="26"/>
      <c r="B55" s="21"/>
      <c r="C55" s="21"/>
      <c r="D55" s="21"/>
      <c r="E55" s="381" t="s">
        <v>117</v>
      </c>
      <c r="F55" s="382"/>
      <c r="G55" s="383"/>
      <c r="H55" s="381" t="s">
        <v>113</v>
      </c>
      <c r="I55" s="382"/>
      <c r="J55" s="383"/>
      <c r="K55" s="21"/>
      <c r="L55" s="21"/>
      <c r="M55" s="21"/>
      <c r="N55" s="21"/>
      <c r="O55" s="21"/>
      <c r="W55" s="39"/>
      <c r="X55" s="39"/>
    </row>
    <row r="56" spans="1:35" ht="15" thickBot="1" x14ac:dyDescent="0.35">
      <c r="A56" s="26"/>
      <c r="B56" s="21"/>
      <c r="C56" s="21"/>
      <c r="D56" s="21"/>
      <c r="E56" s="396"/>
      <c r="F56" s="397"/>
      <c r="G56" s="398"/>
      <c r="H56" s="396"/>
      <c r="I56" s="397"/>
      <c r="J56" s="398"/>
      <c r="K56" s="205"/>
      <c r="L56" s="21"/>
      <c r="M56" s="26"/>
      <c r="N56" s="21"/>
      <c r="O56" s="21"/>
      <c r="W56" s="39"/>
      <c r="X56" s="39"/>
    </row>
    <row r="57" spans="1:35" ht="16.2" customHeight="1" thickBot="1" x14ac:dyDescent="0.35">
      <c r="A57" s="26"/>
      <c r="B57" s="189"/>
      <c r="C57" s="385"/>
      <c r="D57" s="385"/>
      <c r="E57" s="386"/>
      <c r="F57" s="386"/>
      <c r="G57" s="386"/>
      <c r="H57" s="386"/>
      <c r="I57" s="386"/>
      <c r="J57" s="386"/>
      <c r="K57" s="203"/>
      <c r="L57" s="26"/>
      <c r="M57" s="204"/>
      <c r="N57" s="21"/>
      <c r="O57" s="26"/>
      <c r="W57" s="39"/>
      <c r="X57" s="39"/>
    </row>
    <row r="58" spans="1:35" ht="15" customHeight="1" thickBot="1" x14ac:dyDescent="0.35">
      <c r="A58" s="68"/>
      <c r="B58" s="390" t="s">
        <v>76</v>
      </c>
      <c r="C58" s="391"/>
      <c r="D58" s="391"/>
      <c r="E58" s="391"/>
      <c r="F58" s="391"/>
      <c r="G58" s="391"/>
      <c r="H58" s="392"/>
      <c r="I58" s="185" t="s">
        <v>20</v>
      </c>
      <c r="J58" s="388" t="s">
        <v>30</v>
      </c>
      <c r="K58" s="389"/>
      <c r="L58" s="21"/>
      <c r="M58" s="267" t="s">
        <v>74</v>
      </c>
      <c r="N58" s="267"/>
      <c r="O58" s="21"/>
      <c r="Q58" s="50"/>
      <c r="R58" s="377" t="s">
        <v>1</v>
      </c>
      <c r="S58" s="378"/>
      <c r="T58" s="377" t="s">
        <v>2</v>
      </c>
      <c r="U58" s="378"/>
    </row>
    <row r="59" spans="1:35" ht="15" customHeight="1" thickBot="1" x14ac:dyDescent="0.35">
      <c r="A59" s="68"/>
      <c r="B59" s="393"/>
      <c r="C59" s="394"/>
      <c r="D59" s="394"/>
      <c r="E59" s="394"/>
      <c r="F59" s="394"/>
      <c r="G59" s="394"/>
      <c r="H59" s="395"/>
      <c r="I59" s="76">
        <f>IF(AND(M6="State",E56="x",H56=""),R60,IF(AND(M6="Non-State",E56="x",H56=""),T60,IF(AND(M6="State",E56="",H56="x"),R61,IF(AND(M6="Non-State",E56="",H56="x"),T61,0))))</f>
        <v>0</v>
      </c>
      <c r="J59" s="256">
        <f>IF(I59*J5+I66&lt;J61*M61,"see min. charge below",I59*J5+I66)</f>
        <v>0</v>
      </c>
      <c r="K59" s="256"/>
      <c r="L59" s="188"/>
      <c r="M59" s="268"/>
      <c r="N59" s="267"/>
      <c r="O59" s="21"/>
      <c r="Q59" s="142"/>
      <c r="R59" s="140"/>
      <c r="S59" s="144" t="s">
        <v>97</v>
      </c>
      <c r="T59" s="140"/>
      <c r="U59" s="144" t="s">
        <v>97</v>
      </c>
      <c r="W59" s="173"/>
      <c r="X59" s="173"/>
      <c r="Y59" s="173"/>
      <c r="Z59" s="173"/>
      <c r="AA59" s="173"/>
      <c r="AB59" s="173"/>
      <c r="AC59" s="173"/>
      <c r="AD59" s="161"/>
      <c r="AE59" s="161"/>
      <c r="AF59" s="161"/>
      <c r="AG59" s="50"/>
      <c r="AH59" s="50"/>
      <c r="AI59" s="50"/>
    </row>
    <row r="60" spans="1:35" ht="15" customHeight="1" thickBot="1" x14ac:dyDescent="0.35">
      <c r="A60" s="26"/>
      <c r="B60" s="186"/>
      <c r="C60" s="187"/>
      <c r="D60" s="187"/>
      <c r="E60" s="187"/>
      <c r="F60" s="187"/>
      <c r="G60" s="187"/>
      <c r="H60" s="187"/>
      <c r="I60" s="21"/>
      <c r="J60" s="21"/>
      <c r="K60" s="21"/>
      <c r="L60" s="21"/>
      <c r="M60" s="267"/>
      <c r="N60" s="267"/>
      <c r="O60" s="21"/>
      <c r="Q60" s="191" t="s">
        <v>117</v>
      </c>
      <c r="R60" s="141">
        <v>16.5</v>
      </c>
      <c r="S60" s="183">
        <v>231</v>
      </c>
      <c r="T60" s="183">
        <f>R60*1.1</f>
        <v>18.150000000000002</v>
      </c>
      <c r="U60" s="183">
        <f>T60*14</f>
        <v>254.10000000000002</v>
      </c>
      <c r="W60" s="173"/>
      <c r="X60" s="173"/>
      <c r="Y60" s="173"/>
      <c r="Z60" s="173"/>
      <c r="AA60" s="173"/>
      <c r="AB60" s="173"/>
      <c r="AC60" s="173"/>
      <c r="AD60" s="174"/>
      <c r="AE60" s="174"/>
      <c r="AF60" s="174"/>
      <c r="AG60" s="50"/>
      <c r="AH60" s="50"/>
      <c r="AI60" s="50"/>
    </row>
    <row r="61" spans="1:35" ht="15" customHeight="1" thickBot="1" x14ac:dyDescent="0.35">
      <c r="A61" s="21"/>
      <c r="B61" s="242" t="s">
        <v>73</v>
      </c>
      <c r="C61" s="243"/>
      <c r="D61" s="243"/>
      <c r="E61" s="244"/>
      <c r="F61" s="248" t="s">
        <v>71</v>
      </c>
      <c r="G61" s="248"/>
      <c r="H61" s="248"/>
      <c r="I61" s="248"/>
      <c r="J61" s="211">
        <f>IF(AND(M6="State",E56="x",H56=""),S60,IF(AND(M6="Non-State",E56="x",H56=""),U60,IF(AND(M6="State",E56="",H56="x"),S61,IF(AND(M6="Non-State",E56="",H56="x"),U61,0))))</f>
        <v>0</v>
      </c>
      <c r="K61" s="211"/>
      <c r="L61" s="21"/>
      <c r="M61" s="361">
        <f>IF(AND(J5&gt;0,J5&lt;22),1,IF(AND(J5&gt;21,J5&lt;43),2,IF(AND(J5&gt;42,J5&lt;64),3,IF(AND(J5&gt;63,J5&lt;85),4,IF(AND(J5&gt;84,J5&lt;106),5,IF(AND(J5&gt;105,J5&lt;127),6,0))))))</f>
        <v>0</v>
      </c>
      <c r="N61" s="361"/>
      <c r="O61" s="21"/>
      <c r="Q61" s="192" t="s">
        <v>113</v>
      </c>
      <c r="R61" s="184">
        <v>25</v>
      </c>
      <c r="S61" s="183">
        <f>R61*14</f>
        <v>350</v>
      </c>
      <c r="T61" s="183">
        <f>R61*1.1</f>
        <v>27.500000000000004</v>
      </c>
      <c r="U61" s="183">
        <f>T61*14</f>
        <v>385.00000000000006</v>
      </c>
      <c r="W61" s="175"/>
      <c r="X61" s="175"/>
      <c r="Y61" s="175"/>
      <c r="Z61" s="175"/>
      <c r="AA61" s="176"/>
      <c r="AB61" s="176"/>
      <c r="AC61" s="176"/>
      <c r="AD61" s="176"/>
      <c r="AE61" s="174"/>
      <c r="AF61" s="174"/>
      <c r="AG61" s="50"/>
      <c r="AH61" s="50"/>
      <c r="AI61" s="169"/>
    </row>
    <row r="62" spans="1:35" ht="15" customHeight="1" thickBot="1" x14ac:dyDescent="0.35">
      <c r="A62" s="21"/>
      <c r="B62" s="245"/>
      <c r="C62" s="246"/>
      <c r="D62" s="246"/>
      <c r="E62" s="247"/>
      <c r="F62" s="248" t="s">
        <v>72</v>
      </c>
      <c r="G62" s="248"/>
      <c r="H62" s="248"/>
      <c r="I62" s="248"/>
      <c r="J62" s="241">
        <f>+IF(J61*M61&lt;I59*J5+I66,"N/A",J61*M61)</f>
        <v>0</v>
      </c>
      <c r="K62" s="241"/>
      <c r="L62" s="55"/>
      <c r="M62" s="62"/>
      <c r="N62" s="62"/>
      <c r="O62" s="21"/>
      <c r="Q62" s="387"/>
      <c r="R62" s="387"/>
      <c r="S62" s="201"/>
      <c r="T62" s="202"/>
      <c r="U62" s="202"/>
      <c r="V62" s="458"/>
      <c r="W62" s="175"/>
      <c r="X62" s="175"/>
      <c r="Y62" s="175"/>
      <c r="Z62" s="175"/>
      <c r="AA62" s="176"/>
      <c r="AB62" s="176"/>
      <c r="AC62" s="176"/>
      <c r="AD62" s="176"/>
      <c r="AE62" s="177"/>
      <c r="AF62" s="177"/>
      <c r="AG62" s="170"/>
      <c r="AH62" s="169"/>
      <c r="AI62" s="169"/>
    </row>
    <row r="63" spans="1:35" ht="15" customHeight="1" thickBot="1" x14ac:dyDescent="0.35">
      <c r="A63" s="21"/>
      <c r="B63" s="61"/>
      <c r="C63" s="61"/>
      <c r="D63" s="61"/>
      <c r="E63" s="61"/>
      <c r="F63" s="61"/>
      <c r="G63" s="61"/>
      <c r="H63" s="61"/>
      <c r="I63" s="61"/>
      <c r="J63" s="21"/>
      <c r="K63" s="55"/>
      <c r="L63" s="55"/>
      <c r="M63" s="62"/>
      <c r="N63" s="62"/>
      <c r="O63" s="21"/>
      <c r="S63" s="114"/>
      <c r="W63" s="171"/>
      <c r="X63" s="171"/>
      <c r="Y63" s="171"/>
      <c r="Z63" s="171"/>
      <c r="AA63" s="171"/>
      <c r="AB63" s="171"/>
      <c r="AC63" s="171"/>
      <c r="AD63" s="171"/>
      <c r="AE63" s="50"/>
      <c r="AF63" s="170"/>
      <c r="AG63" s="170"/>
      <c r="AH63" s="169"/>
      <c r="AI63" s="169"/>
    </row>
    <row r="64" spans="1:35" ht="15" customHeight="1" thickBot="1" x14ac:dyDescent="0.35">
      <c r="A64" s="21"/>
      <c r="B64" s="251" t="s">
        <v>64</v>
      </c>
      <c r="C64" s="252"/>
      <c r="D64" s="252"/>
      <c r="E64" s="252"/>
      <c r="F64" s="252"/>
      <c r="G64" s="252"/>
      <c r="H64" s="252"/>
      <c r="I64" s="252"/>
      <c r="J64" s="253"/>
      <c r="K64" s="23"/>
      <c r="L64" s="21"/>
      <c r="M64" s="21"/>
      <c r="N64" s="21"/>
      <c r="O64" s="21"/>
      <c r="W64" s="161"/>
      <c r="X64" s="161"/>
      <c r="Y64" s="161"/>
      <c r="Z64" s="161"/>
      <c r="AA64" s="161"/>
      <c r="AB64" s="161"/>
      <c r="AC64" s="161"/>
      <c r="AD64" s="161"/>
      <c r="AE64" s="161"/>
      <c r="AF64" s="52"/>
      <c r="AG64" s="50"/>
      <c r="AH64" s="50"/>
      <c r="AI64" s="50"/>
    </row>
    <row r="65" spans="1:35" ht="15" customHeight="1" thickBot="1" x14ac:dyDescent="0.35">
      <c r="A65" s="21"/>
      <c r="B65" s="279" t="s">
        <v>88</v>
      </c>
      <c r="C65" s="280"/>
      <c r="D65" s="280"/>
      <c r="E65" s="280"/>
      <c r="F65" s="280"/>
      <c r="G65" s="281"/>
      <c r="H65" s="301"/>
      <c r="I65" s="212" t="s">
        <v>75</v>
      </c>
      <c r="J65" s="213"/>
      <c r="K65" s="21"/>
      <c r="L65" s="21"/>
      <c r="M65" s="21"/>
      <c r="N65" s="21"/>
      <c r="O65" s="21"/>
      <c r="W65" s="172"/>
      <c r="X65" s="172"/>
      <c r="Y65" s="172"/>
      <c r="Z65" s="172"/>
      <c r="AA65" s="172"/>
      <c r="AB65" s="172"/>
      <c r="AC65" s="182"/>
      <c r="AD65" s="178"/>
      <c r="AE65" s="178"/>
      <c r="AF65" s="50"/>
      <c r="AG65" s="50"/>
      <c r="AH65" s="50"/>
      <c r="AI65" s="50"/>
    </row>
    <row r="66" spans="1:35" ht="15" customHeight="1" thickBot="1" x14ac:dyDescent="0.35">
      <c r="A66" s="21"/>
      <c r="B66" s="282"/>
      <c r="C66" s="283"/>
      <c r="D66" s="283"/>
      <c r="E66" s="283"/>
      <c r="F66" s="283"/>
      <c r="G66" s="284"/>
      <c r="H66" s="302"/>
      <c r="I66" s="273">
        <f>(I59*H65)</f>
        <v>0</v>
      </c>
      <c r="J66" s="274"/>
      <c r="K66" s="21"/>
      <c r="L66" s="54" t="s">
        <v>20</v>
      </c>
      <c r="M66" s="275" t="s">
        <v>70</v>
      </c>
      <c r="N66" s="276"/>
      <c r="O66" s="21"/>
      <c r="W66" s="172"/>
      <c r="X66" s="172"/>
      <c r="Y66" s="172"/>
      <c r="Z66" s="172"/>
      <c r="AA66" s="172"/>
      <c r="AB66" s="172"/>
      <c r="AC66" s="182"/>
      <c r="AD66" s="174"/>
      <c r="AE66" s="174"/>
      <c r="AF66" s="50"/>
      <c r="AG66" s="161"/>
      <c r="AH66" s="177"/>
      <c r="AI66" s="177"/>
    </row>
    <row r="67" spans="1:35" ht="15" customHeight="1" thickBot="1" x14ac:dyDescent="0.35">
      <c r="A67" s="21"/>
      <c r="B67" s="24"/>
      <c r="C67" s="24"/>
      <c r="D67" s="24" t="str">
        <f>IF(L108&gt;0,"Anomaly-",IF(L108&lt;0,"Anomaly-",""))</f>
        <v/>
      </c>
      <c r="E67" s="368" t="str">
        <f>IF(L108&gt;0,E108,IF(L108&lt;0,E108,""))</f>
        <v/>
      </c>
      <c r="F67" s="368"/>
      <c r="G67" s="368"/>
      <c r="H67" s="368"/>
      <c r="I67" s="368"/>
      <c r="J67" s="368"/>
      <c r="K67" s="21"/>
      <c r="L67" s="53">
        <f>IFERROR(M67/(H65+J5),0)</f>
        <v>0</v>
      </c>
      <c r="M67" s="277">
        <f>IF(I59*J5+I66&lt;J61*M61,J61*M61+L108,I59*J5+I66+L108)</f>
        <v>0</v>
      </c>
      <c r="N67" s="278"/>
      <c r="O67" s="21"/>
      <c r="W67" s="172"/>
      <c r="X67" s="172"/>
      <c r="Y67" s="172"/>
      <c r="Z67" s="179"/>
      <c r="AA67" s="179"/>
      <c r="AB67" s="179"/>
      <c r="AC67" s="179"/>
      <c r="AD67" s="179"/>
      <c r="AE67" s="179"/>
      <c r="AF67" s="50"/>
      <c r="AG67" s="170"/>
      <c r="AH67" s="177"/>
      <c r="AI67" s="177"/>
    </row>
    <row r="68" spans="1:35" ht="15" customHeight="1" thickBot="1" x14ac:dyDescent="0.35">
      <c r="A68" s="21"/>
      <c r="B68" s="61"/>
      <c r="C68" s="61"/>
      <c r="D68" s="110"/>
      <c r="E68" s="110"/>
      <c r="F68" s="65"/>
      <c r="G68" s="65"/>
      <c r="H68" s="110"/>
      <c r="I68" s="110"/>
      <c r="J68" s="25"/>
      <c r="K68" s="111"/>
      <c r="L68" s="111"/>
      <c r="M68" s="266" t="str">
        <f>IF(AND(M67&gt;1,M6="Non-state"),"inc GST","")</f>
        <v/>
      </c>
      <c r="N68" s="266"/>
      <c r="O68" s="21"/>
    </row>
    <row r="69" spans="1:35" ht="15.6" thickTop="1" thickBot="1" x14ac:dyDescent="0.35">
      <c r="A69" s="32"/>
      <c r="B69" s="254" t="s">
        <v>35</v>
      </c>
      <c r="C69" s="25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30"/>
      <c r="Q69" s="51"/>
      <c r="R69" s="52"/>
      <c r="S69" s="52"/>
      <c r="T69" s="52"/>
    </row>
    <row r="70" spans="1:35" ht="15" thickTop="1" x14ac:dyDescent="0.3">
      <c r="A70" s="26"/>
      <c r="B70" s="31"/>
      <c r="C70" s="3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114"/>
      <c r="Q70" s="145"/>
      <c r="R70" s="141" t="s">
        <v>1</v>
      </c>
      <c r="S70" s="141" t="s">
        <v>2</v>
      </c>
      <c r="T70" s="52"/>
    </row>
    <row r="71" spans="1:35" ht="15" thickBot="1" x14ac:dyDescent="0.35">
      <c r="A71" s="21"/>
      <c r="B71" s="21"/>
      <c r="C71" s="285" t="s">
        <v>52</v>
      </c>
      <c r="D71" s="286"/>
      <c r="E71" s="286"/>
      <c r="F71" s="286"/>
      <c r="G71" s="286"/>
      <c r="H71" s="21"/>
      <c r="I71" s="21"/>
      <c r="J71" s="21"/>
      <c r="K71" s="21"/>
      <c r="L71" s="21"/>
      <c r="M71" s="21"/>
      <c r="N71" s="21"/>
      <c r="O71" s="21"/>
      <c r="Q71" s="141" t="s">
        <v>98</v>
      </c>
      <c r="R71" s="141">
        <v>5</v>
      </c>
      <c r="S71" s="141">
        <v>5.5</v>
      </c>
      <c r="T71" s="52"/>
    </row>
    <row r="72" spans="1:35" ht="15.75" customHeight="1" thickBot="1" x14ac:dyDescent="0.35">
      <c r="A72" s="21"/>
      <c r="B72" s="238" t="s">
        <v>36</v>
      </c>
      <c r="C72" s="239"/>
      <c r="D72" s="240"/>
      <c r="E72" s="21"/>
      <c r="F72" s="305" t="s">
        <v>37</v>
      </c>
      <c r="G72" s="305"/>
      <c r="H72" s="305"/>
      <c r="I72" s="23"/>
      <c r="J72" s="21"/>
      <c r="K72" s="21"/>
      <c r="L72" s="26"/>
      <c r="M72" s="21"/>
      <c r="N72" s="21"/>
      <c r="O72" s="21"/>
      <c r="Q72" s="137" t="s">
        <v>99</v>
      </c>
      <c r="R72" s="137">
        <v>7.5</v>
      </c>
      <c r="S72" s="137">
        <v>8.25</v>
      </c>
    </row>
    <row r="73" spans="1:35" ht="15" thickBot="1" x14ac:dyDescent="0.35">
      <c r="A73" s="21"/>
      <c r="B73" s="372" t="s">
        <v>38</v>
      </c>
      <c r="C73" s="373"/>
      <c r="D73" s="70"/>
      <c r="E73" s="21"/>
      <c r="F73" s="352" t="s">
        <v>44</v>
      </c>
      <c r="G73" s="352"/>
      <c r="H73" s="70"/>
      <c r="I73" s="23"/>
      <c r="J73" s="21"/>
      <c r="K73" s="21"/>
      <c r="L73" s="26"/>
      <c r="M73" s="21"/>
      <c r="N73" s="21"/>
      <c r="O73" s="21"/>
      <c r="Q73" s="137" t="s">
        <v>100</v>
      </c>
      <c r="R73" s="137">
        <v>10</v>
      </c>
      <c r="S73" s="137">
        <v>11</v>
      </c>
    </row>
    <row r="74" spans="1:35" ht="15" thickBot="1" x14ac:dyDescent="0.35">
      <c r="A74" s="21"/>
      <c r="B74" s="370" t="s">
        <v>42</v>
      </c>
      <c r="C74" s="371"/>
      <c r="D74" s="70"/>
      <c r="E74" s="21"/>
      <c r="F74" s="300" t="s">
        <v>45</v>
      </c>
      <c r="G74" s="300"/>
      <c r="H74" s="70"/>
      <c r="I74" s="21"/>
      <c r="J74" s="21"/>
      <c r="K74" s="21"/>
      <c r="L74" s="36" t="s">
        <v>10</v>
      </c>
      <c r="M74" s="21"/>
      <c r="N74" s="21"/>
      <c r="O74" s="21"/>
      <c r="Q74" s="137" t="s">
        <v>101</v>
      </c>
      <c r="R74" s="137">
        <v>10</v>
      </c>
      <c r="S74" s="137">
        <v>11</v>
      </c>
    </row>
    <row r="75" spans="1:35" ht="15" thickBot="1" x14ac:dyDescent="0.35">
      <c r="A75" s="21"/>
      <c r="B75" s="372" t="s">
        <v>43</v>
      </c>
      <c r="C75" s="373"/>
      <c r="D75" s="70"/>
      <c r="E75" s="21"/>
      <c r="F75" s="21"/>
      <c r="G75" s="21"/>
      <c r="H75" s="77">
        <f>IF(AND(H73="x",H74=""),1,IF(AND(H74="x",H73=""),1,IF(AND(H73="x",H74="x"),2,0)))</f>
        <v>0</v>
      </c>
      <c r="I75" s="21"/>
      <c r="J75" s="225" t="s">
        <v>39</v>
      </c>
      <c r="K75" s="225"/>
      <c r="L75" s="78">
        <f>IF(M6="-",0,IF(AND(M6="State",D76=1,H75=0),R71,IF(AND(M6="Non-state",D76=1,H75=0),S71,IF(AND(M6="State",D76=2,H75=0),R72,IF(AND(M6="Non-state",D76=2,H75=0),S72,IF(AND(M6="State",D76=3,H75=0),R73,IF(AND(M6="Non-state",D76=3,H75=0),S73,)))))))</f>
        <v>0</v>
      </c>
      <c r="M75" s="21"/>
      <c r="N75" s="21"/>
      <c r="O75" s="21"/>
      <c r="Q75" s="137" t="s">
        <v>102</v>
      </c>
      <c r="R75" s="137">
        <v>15</v>
      </c>
      <c r="S75" s="137">
        <v>16.5</v>
      </c>
    </row>
    <row r="76" spans="1:35" ht="15" thickBot="1" x14ac:dyDescent="0.35">
      <c r="A76" s="21"/>
      <c r="B76" s="21"/>
      <c r="C76" s="21"/>
      <c r="D76" s="77">
        <f>IF(AND(D73="x",D74="",D75=""),1,IF(AND(D73="",D74="x",D75=""),1,IF(AND(D73="",D74="",D75="x"),1,IF(AND(D73="x",D74="x",D75=""),2,IF(AND(D73="x",D74="",D75="x"),2,IF(AND(D73="",D74="x",D75="x"),2,IF(AND(D73="x",D74="x",D75="x"),3,0)))))))</f>
        <v>0</v>
      </c>
      <c r="E76" s="21"/>
      <c r="F76" s="21"/>
      <c r="G76" s="21"/>
      <c r="H76" s="21"/>
      <c r="I76" s="21"/>
      <c r="J76" s="225" t="s">
        <v>40</v>
      </c>
      <c r="K76" s="225"/>
      <c r="L76" s="76">
        <f>IF(M6="-",0,IF(AND(M6="State",H75=1,D76=0),R74,IF(AND(M6="Non-state",H75=1,D76=0),S74,IF(AND(M6="State",H75=2,D76=0),R75,IF(AND(M6="Non-state",H75=2,D76=0),S75,)))))</f>
        <v>0</v>
      </c>
      <c r="M76" s="265" t="s">
        <v>30</v>
      </c>
      <c r="N76" s="265"/>
      <c r="O76" s="21"/>
      <c r="Q76" s="153" t="s">
        <v>103</v>
      </c>
      <c r="R76" s="137">
        <v>15</v>
      </c>
      <c r="S76" s="137">
        <v>16.5</v>
      </c>
    </row>
    <row r="77" spans="1:35" ht="15" thickBot="1" x14ac:dyDescent="0.35">
      <c r="A77" s="26"/>
      <c r="B77" s="26"/>
      <c r="C77" s="26" t="str">
        <f>IF(L109&gt;0,"Anomaly-",IF(L109&lt;0,"Anomaly-",""))</f>
        <v/>
      </c>
      <c r="D77" s="304" t="str">
        <f>IF(L109&gt;0,E109,IF(L109&lt;0,E109,""))</f>
        <v/>
      </c>
      <c r="E77" s="304"/>
      <c r="F77" s="304"/>
      <c r="G77" s="304"/>
      <c r="H77" s="304"/>
      <c r="I77" s="304"/>
      <c r="J77" s="374" t="s">
        <v>41</v>
      </c>
      <c r="K77" s="375"/>
      <c r="L77" s="76">
        <f>IF(M6="-",0,IF(AND(M6="State",H75=1,D76&gt;0),R76,IF(AND(M6="Non-State",H75=1,D76&gt;0),S76,IF(AND(M6="State",H75=2,D76&gt;0),R77,IF(AND(M6="Non-State",H75=2,D76&gt;0),S77,0)))))</f>
        <v>0</v>
      </c>
      <c r="M77" s="369">
        <f>(L75*J5+L76*J5+L77*J5)+L109</f>
        <v>0</v>
      </c>
      <c r="N77" s="369"/>
      <c r="O77" s="21"/>
      <c r="Q77" s="153" t="s">
        <v>104</v>
      </c>
      <c r="R77" s="137">
        <v>17</v>
      </c>
      <c r="S77" s="137">
        <v>18.7</v>
      </c>
    </row>
    <row r="78" spans="1:35" ht="15" thickBot="1" x14ac:dyDescent="0.35">
      <c r="A78" s="25"/>
      <c r="B78" s="25"/>
      <c r="C78" s="25"/>
      <c r="D78" s="25"/>
      <c r="E78" s="25"/>
      <c r="F78" s="25"/>
      <c r="G78" s="25"/>
      <c r="H78" s="25"/>
      <c r="I78" s="25"/>
      <c r="J78" s="33"/>
      <c r="K78" s="38"/>
      <c r="L78" s="25"/>
      <c r="M78" s="266" t="str">
        <f>IF(AND(M77&gt;1,M6="Non-state"),"inc GST","")</f>
        <v/>
      </c>
      <c r="N78" s="266"/>
      <c r="O78" s="25"/>
    </row>
    <row r="79" spans="1:35" ht="15.6" thickTop="1" thickBot="1" x14ac:dyDescent="0.35">
      <c r="A79" s="21"/>
      <c r="B79" s="254" t="s">
        <v>48</v>
      </c>
      <c r="C79" s="255"/>
      <c r="D79" s="21"/>
      <c r="E79" s="21"/>
      <c r="F79" s="21"/>
      <c r="G79" s="287" t="s">
        <v>53</v>
      </c>
      <c r="H79" s="288"/>
      <c r="I79" s="21"/>
      <c r="J79" s="20" t="s">
        <v>50</v>
      </c>
      <c r="K79" s="21"/>
      <c r="L79" s="21"/>
      <c r="M79" s="21"/>
      <c r="N79" s="21"/>
      <c r="O79" s="21"/>
    </row>
    <row r="80" spans="1:35" ht="15.6" thickTop="1" thickBot="1" x14ac:dyDescent="0.35">
      <c r="A80" s="21"/>
      <c r="B80" s="21"/>
      <c r="C80" s="21"/>
      <c r="D80" s="21"/>
      <c r="E80" s="357" t="s">
        <v>51</v>
      </c>
      <c r="F80" s="358"/>
      <c r="G80" s="358"/>
      <c r="H80" s="358"/>
      <c r="I80" s="359"/>
      <c r="J80" s="70"/>
      <c r="K80" s="21"/>
      <c r="L80" s="36" t="s">
        <v>10</v>
      </c>
      <c r="M80" s="360" t="s">
        <v>30</v>
      </c>
      <c r="N80" s="265"/>
      <c r="O80" s="21"/>
      <c r="Q80" s="137" t="s">
        <v>1</v>
      </c>
      <c r="R80" s="137" t="s">
        <v>2</v>
      </c>
    </row>
    <row r="81" spans="1:18" ht="15" thickBot="1" x14ac:dyDescent="0.35">
      <c r="A81" s="21"/>
      <c r="B81" s="21"/>
      <c r="C81" s="21"/>
      <c r="D81" s="26" t="str">
        <f>IF(L110&gt;0,"Anomaly-",IF(L110&lt;0,"Anomaly-",""))</f>
        <v/>
      </c>
      <c r="E81" s="303" t="str">
        <f>IF(L110&gt;0,E110,IF(L110&lt;0,E110,""))</f>
        <v/>
      </c>
      <c r="F81" s="303"/>
      <c r="G81" s="303"/>
      <c r="H81" s="303"/>
      <c r="I81" s="303"/>
      <c r="J81" s="303"/>
      <c r="K81" s="376"/>
      <c r="L81" s="76">
        <f>IF(M6="-",0,IF(AND(J80="x",M6="State"),Q81,IF(AND(J80="x",M6="Non-State"),R81,0)))</f>
        <v>0</v>
      </c>
      <c r="M81" s="211">
        <f>(L81*J5+L110)</f>
        <v>0</v>
      </c>
      <c r="N81" s="211"/>
      <c r="O81" s="21"/>
      <c r="Q81" s="137">
        <v>3</v>
      </c>
      <c r="R81" s="137">
        <v>3.3</v>
      </c>
    </row>
    <row r="82" spans="1:18" ht="15" thickBot="1" x14ac:dyDescent="0.35">
      <c r="A82" s="25"/>
      <c r="B82" s="26"/>
      <c r="C82" s="26"/>
      <c r="D82" s="25"/>
      <c r="E82" s="25"/>
      <c r="F82" s="25"/>
      <c r="G82" s="25"/>
      <c r="H82" s="25"/>
      <c r="I82" s="25"/>
      <c r="J82" s="25"/>
      <c r="K82" s="25"/>
      <c r="L82" s="25"/>
      <c r="M82" s="266" t="str">
        <f>IF(AND(M81&gt;1,M6="Non-state"),"inc GST","")</f>
        <v/>
      </c>
      <c r="N82" s="266"/>
      <c r="O82" s="25"/>
    </row>
    <row r="83" spans="1:18" ht="15.6" thickTop="1" thickBot="1" x14ac:dyDescent="0.35">
      <c r="A83" s="26"/>
      <c r="B83" s="254" t="s">
        <v>54</v>
      </c>
      <c r="C83" s="255"/>
      <c r="D83" s="26"/>
      <c r="E83" s="26"/>
      <c r="F83" s="26"/>
      <c r="G83" s="26"/>
      <c r="H83" s="26"/>
      <c r="I83" s="26"/>
      <c r="J83" s="26"/>
      <c r="K83" s="26"/>
      <c r="L83" s="26"/>
      <c r="M83" s="21"/>
      <c r="N83" s="21"/>
      <c r="O83" s="21"/>
    </row>
    <row r="84" spans="1:18" ht="15.6" thickTop="1" thickBot="1" x14ac:dyDescent="0.35">
      <c r="A84" s="26"/>
      <c r="B84" s="31"/>
      <c r="C84" s="31"/>
      <c r="D84" s="26"/>
      <c r="E84" s="26"/>
      <c r="F84" s="26"/>
      <c r="G84" s="26"/>
      <c r="H84" s="26"/>
      <c r="I84" s="26"/>
      <c r="J84" s="26"/>
      <c r="K84" s="26"/>
      <c r="L84" s="362" t="s">
        <v>55</v>
      </c>
      <c r="M84" s="363"/>
      <c r="N84" s="364"/>
      <c r="O84" s="21"/>
    </row>
    <row r="85" spans="1:18" ht="15" thickBot="1" x14ac:dyDescent="0.35">
      <c r="A85" s="25"/>
      <c r="B85" s="31"/>
      <c r="C85" s="31"/>
      <c r="D85" s="25"/>
      <c r="E85" s="25"/>
      <c r="F85" s="25"/>
      <c r="G85" s="25"/>
      <c r="H85" s="25"/>
      <c r="I85" s="25"/>
      <c r="J85" s="25"/>
      <c r="K85" s="25"/>
      <c r="L85" s="40"/>
      <c r="M85" s="40"/>
      <c r="N85" s="40"/>
      <c r="O85" s="21"/>
    </row>
    <row r="86" spans="1:18" ht="15.6" thickTop="1" thickBot="1" x14ac:dyDescent="0.35">
      <c r="A86" s="30"/>
      <c r="B86" s="254" t="s">
        <v>56</v>
      </c>
      <c r="C86" s="255"/>
      <c r="D86" s="30"/>
      <c r="E86" s="30"/>
      <c r="F86" s="30"/>
      <c r="G86" s="30"/>
      <c r="H86" s="30"/>
      <c r="I86" s="30"/>
      <c r="J86" s="30"/>
      <c r="K86" s="30"/>
      <c r="L86" s="26"/>
      <c r="M86" s="21"/>
      <c r="N86" s="21"/>
      <c r="O86" s="30"/>
    </row>
    <row r="87" spans="1:18" ht="15.6" thickTop="1" thickBot="1" x14ac:dyDescent="0.35">
      <c r="A87" s="26"/>
      <c r="B87" s="41"/>
      <c r="C87" s="41"/>
      <c r="D87" s="26"/>
      <c r="E87" s="26"/>
      <c r="F87" s="26"/>
      <c r="G87" s="26"/>
      <c r="H87" s="26"/>
      <c r="I87" s="26"/>
      <c r="J87" s="26"/>
      <c r="K87" s="26"/>
      <c r="L87" s="365" t="s">
        <v>55</v>
      </c>
      <c r="M87" s="366"/>
      <c r="N87" s="367"/>
      <c r="O87" s="21"/>
    </row>
    <row r="88" spans="1:18" ht="15" thickBot="1" x14ac:dyDescent="0.35">
      <c r="A88" s="25"/>
      <c r="B88" s="38"/>
      <c r="C88" s="38"/>
      <c r="D88" s="25"/>
      <c r="E88" s="25"/>
      <c r="F88" s="25"/>
      <c r="G88" s="25"/>
      <c r="H88" s="25"/>
      <c r="I88" s="25"/>
      <c r="J88" s="25"/>
      <c r="K88" s="25"/>
      <c r="L88" s="40"/>
      <c r="M88" s="40"/>
      <c r="N88" s="40"/>
      <c r="O88" s="21"/>
    </row>
    <row r="89" spans="1:18" ht="15.6" thickTop="1" thickBot="1" x14ac:dyDescent="0.35">
      <c r="A89" s="30"/>
      <c r="B89" s="254" t="s">
        <v>57</v>
      </c>
      <c r="C89" s="255"/>
      <c r="D89" s="30"/>
      <c r="E89" s="30"/>
      <c r="F89" s="30"/>
      <c r="G89" s="30"/>
      <c r="H89" s="30"/>
      <c r="I89" s="30"/>
      <c r="J89" s="30"/>
      <c r="K89" s="30"/>
      <c r="L89" s="26"/>
      <c r="M89" s="21"/>
      <c r="N89" s="21"/>
      <c r="O89" s="30"/>
    </row>
    <row r="90" spans="1:18" ht="15.6" thickTop="1" thickBot="1" x14ac:dyDescent="0.35">
      <c r="A90" s="26"/>
      <c r="B90" s="41"/>
      <c r="C90" s="41"/>
      <c r="D90" s="26"/>
      <c r="E90" s="26"/>
      <c r="F90" s="26"/>
      <c r="G90" s="26"/>
      <c r="H90" s="26"/>
      <c r="I90" s="26"/>
      <c r="J90" s="26"/>
      <c r="K90" s="26"/>
      <c r="L90" s="365" t="s">
        <v>55</v>
      </c>
      <c r="M90" s="366"/>
      <c r="N90" s="367"/>
      <c r="O90" s="21"/>
    </row>
    <row r="91" spans="1:18" ht="15" thickBot="1" x14ac:dyDescent="0.35">
      <c r="A91" s="25"/>
      <c r="B91" s="38"/>
      <c r="C91" s="38"/>
      <c r="D91" s="25"/>
      <c r="E91" s="26"/>
      <c r="F91" s="26"/>
      <c r="G91" s="26"/>
      <c r="H91" s="26"/>
      <c r="I91" s="26"/>
      <c r="J91" s="26"/>
      <c r="K91" s="26"/>
      <c r="L91" s="40"/>
      <c r="M91" s="40"/>
      <c r="N91" s="40"/>
      <c r="O91" s="21"/>
    </row>
    <row r="92" spans="1:18" ht="15.6" thickTop="1" thickBot="1" x14ac:dyDescent="0.35">
      <c r="A92" s="30"/>
      <c r="B92" s="254" t="s">
        <v>58</v>
      </c>
      <c r="C92" s="255"/>
      <c r="D92" s="30"/>
      <c r="E92" s="30"/>
      <c r="F92" s="30"/>
      <c r="G92" s="30"/>
      <c r="H92" s="30"/>
      <c r="I92" s="30"/>
      <c r="J92" s="30"/>
      <c r="K92" s="30"/>
      <c r="L92" s="31"/>
      <c r="M92" s="31"/>
      <c r="N92" s="31"/>
      <c r="O92" s="30"/>
    </row>
    <row r="93" spans="1:18" ht="15.6" thickTop="1" thickBot="1" x14ac:dyDescent="0.35">
      <c r="A93" s="26"/>
      <c r="B93" s="31"/>
      <c r="C93" s="31"/>
      <c r="D93" s="26"/>
      <c r="E93" s="26"/>
      <c r="F93" s="26"/>
      <c r="G93" s="26"/>
      <c r="H93" s="26"/>
      <c r="I93" s="26"/>
      <c r="J93" s="26"/>
      <c r="K93" s="26"/>
      <c r="L93" s="365" t="s">
        <v>55</v>
      </c>
      <c r="M93" s="366"/>
      <c r="N93" s="367"/>
      <c r="O93" s="26"/>
    </row>
    <row r="94" spans="1:18" ht="15" thickBot="1" x14ac:dyDescent="0.3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1"/>
      <c r="M94" s="21"/>
      <c r="N94" s="21"/>
      <c r="O94" s="21"/>
    </row>
    <row r="95" spans="1:18" ht="15.6" thickTop="1" thickBot="1" x14ac:dyDescent="0.35">
      <c r="A95" s="21"/>
      <c r="B95" s="254" t="s">
        <v>59</v>
      </c>
      <c r="C95" s="255"/>
      <c r="D95" s="21"/>
      <c r="E95" s="21"/>
      <c r="F95" s="21"/>
      <c r="G95" s="21"/>
      <c r="H95" s="21"/>
      <c r="I95" s="21"/>
      <c r="J95" s="21"/>
      <c r="K95" s="21"/>
      <c r="L95" s="42"/>
      <c r="M95" s="42"/>
      <c r="N95" s="42"/>
      <c r="O95" s="30"/>
    </row>
    <row r="96" spans="1:18" ht="16.5" customHeight="1" thickTop="1" thickBot="1" x14ac:dyDescent="0.35">
      <c r="A96" s="21"/>
      <c r="B96" s="21"/>
      <c r="C96" s="21"/>
      <c r="D96" s="21"/>
      <c r="E96" s="21"/>
      <c r="F96" s="21"/>
      <c r="G96" s="21"/>
      <c r="H96" s="21"/>
      <c r="I96" s="21"/>
      <c r="J96" s="22"/>
      <c r="K96" s="21"/>
      <c r="L96" s="365" t="s">
        <v>55</v>
      </c>
      <c r="M96" s="366"/>
      <c r="N96" s="367"/>
      <c r="O96" s="21"/>
    </row>
    <row r="97" spans="1:25" ht="15.75" customHeight="1" thickBot="1" x14ac:dyDescent="0.35">
      <c r="A97" s="21"/>
      <c r="B97" s="26"/>
      <c r="C97" s="21"/>
      <c r="D97" s="356" t="s">
        <v>77</v>
      </c>
      <c r="E97" s="356"/>
      <c r="F97" s="356"/>
      <c r="G97" s="356"/>
      <c r="H97" s="356"/>
      <c r="I97" s="356"/>
      <c r="J97" s="356"/>
      <c r="K97" s="22"/>
      <c r="L97" s="21"/>
      <c r="M97" s="21"/>
      <c r="N97" s="21"/>
      <c r="O97" s="21"/>
    </row>
    <row r="98" spans="1:25" ht="15" thickBot="1" x14ac:dyDescent="0.35">
      <c r="A98" s="21"/>
      <c r="B98" s="65"/>
      <c r="C98" s="64"/>
      <c r="D98" s="64"/>
      <c r="E98" s="64"/>
      <c r="F98" s="65"/>
      <c r="G98" s="38"/>
      <c r="H98" s="38"/>
      <c r="I98" s="129"/>
      <c r="J98" s="25"/>
      <c r="K98" s="25"/>
      <c r="L98" s="25"/>
      <c r="M98" s="38"/>
      <c r="N98" s="38"/>
      <c r="O98" s="26"/>
    </row>
    <row r="99" spans="1:25" ht="16.5" customHeight="1" thickTop="1" thickBot="1" x14ac:dyDescent="0.35">
      <c r="A99" s="122"/>
      <c r="B99" s="339" t="s">
        <v>61</v>
      </c>
      <c r="C99" s="340"/>
      <c r="D99" s="122"/>
      <c r="E99" s="122"/>
      <c r="F99" s="123"/>
      <c r="G99" s="123"/>
      <c r="H99" s="123"/>
      <c r="I99" s="123"/>
      <c r="J99" s="123"/>
      <c r="K99" s="128"/>
      <c r="L99" s="123"/>
      <c r="M99" s="123"/>
      <c r="N99" s="123"/>
      <c r="O99" s="122"/>
    </row>
    <row r="100" spans="1:25" ht="15" customHeight="1" thickTop="1" thickBot="1" x14ac:dyDescent="0.4">
      <c r="A100" s="123"/>
      <c r="B100" s="123"/>
      <c r="C100" s="123"/>
      <c r="D100" s="123"/>
      <c r="E100" s="123"/>
      <c r="F100" s="349" t="s">
        <v>86</v>
      </c>
      <c r="G100" s="349"/>
      <c r="H100" s="349"/>
      <c r="I100" s="349"/>
      <c r="J100" s="349"/>
      <c r="K100" s="349"/>
      <c r="L100" s="123"/>
      <c r="M100" s="123"/>
      <c r="N100" s="125"/>
      <c r="O100" s="123"/>
    </row>
    <row r="101" spans="1:25" ht="15.6" thickTop="1" thickBot="1" x14ac:dyDescent="0.35">
      <c r="A101" s="123"/>
      <c r="B101" s="123"/>
      <c r="C101" s="238" t="s">
        <v>62</v>
      </c>
      <c r="D101" s="240"/>
      <c r="E101" s="123"/>
      <c r="F101" s="123"/>
      <c r="G101" s="123"/>
      <c r="H101" s="123"/>
      <c r="I101" s="123"/>
      <c r="J101" s="123"/>
      <c r="K101" s="123"/>
      <c r="L101" s="123"/>
      <c r="M101" s="123"/>
      <c r="N101" s="125"/>
      <c r="O101" s="123"/>
      <c r="Q101" s="39"/>
      <c r="R101" s="121"/>
      <c r="S101" s="52"/>
      <c r="T101" s="52"/>
      <c r="U101" s="52"/>
      <c r="V101" s="52"/>
      <c r="W101" s="52"/>
      <c r="X101" s="272"/>
      <c r="Y101" s="272"/>
    </row>
    <row r="102" spans="1:25" ht="15" thickBot="1" x14ac:dyDescent="0.35">
      <c r="A102" s="123"/>
      <c r="B102" s="123"/>
      <c r="C102" s="341" t="s">
        <v>63</v>
      </c>
      <c r="D102" s="342"/>
      <c r="E102" s="342"/>
      <c r="F102" s="342"/>
      <c r="G102" s="342"/>
      <c r="H102" s="342"/>
      <c r="I102" s="342"/>
      <c r="J102" s="343"/>
      <c r="K102" s="123"/>
      <c r="L102" s="265" t="s">
        <v>30</v>
      </c>
      <c r="M102" s="265"/>
      <c r="N102" s="123"/>
      <c r="O102" s="123"/>
      <c r="Q102" s="39"/>
      <c r="R102" s="52"/>
      <c r="S102" s="52"/>
      <c r="T102" s="52"/>
      <c r="U102" s="52"/>
      <c r="V102" s="52"/>
      <c r="W102" s="52"/>
      <c r="X102" s="272"/>
      <c r="Y102" s="272"/>
    </row>
    <row r="103" spans="1:25" ht="15" thickBot="1" x14ac:dyDescent="0.35">
      <c r="A103" s="123"/>
      <c r="B103" s="123"/>
      <c r="C103" s="344"/>
      <c r="D103" s="345"/>
      <c r="E103" s="345"/>
      <c r="F103" s="345"/>
      <c r="G103" s="345"/>
      <c r="H103" s="345"/>
      <c r="I103" s="345"/>
      <c r="J103" s="346"/>
      <c r="K103" s="123"/>
      <c r="L103" s="337"/>
      <c r="M103" s="337"/>
      <c r="N103" s="126" t="str">
        <f>IF(L103&gt;0,"inc GST","")</f>
        <v/>
      </c>
      <c r="O103" s="123"/>
    </row>
    <row r="104" spans="1:25" ht="15" thickBot="1" x14ac:dyDescent="0.35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355" t="str">
        <f>IF(L103&gt;0,"Payable to bus Co.","")</f>
        <v/>
      </c>
      <c r="M104" s="355"/>
      <c r="N104" s="123"/>
      <c r="O104" s="123"/>
    </row>
    <row r="105" spans="1:25" ht="15" thickBot="1" x14ac:dyDescent="0.35">
      <c r="A105" s="123"/>
      <c r="B105" s="123"/>
      <c r="C105" s="350" t="s">
        <v>83</v>
      </c>
      <c r="D105" s="350"/>
      <c r="E105" s="123"/>
      <c r="F105" s="123"/>
      <c r="G105" s="354" t="s">
        <v>82</v>
      </c>
      <c r="H105" s="354"/>
      <c r="I105" s="123"/>
      <c r="J105" s="123"/>
      <c r="K105" s="123"/>
      <c r="L105" s="380" t="s">
        <v>33</v>
      </c>
      <c r="M105" s="380"/>
      <c r="N105" s="123"/>
      <c r="O105" s="123"/>
    </row>
    <row r="106" spans="1:25" ht="15" thickBot="1" x14ac:dyDescent="0.35">
      <c r="A106" s="123"/>
      <c r="B106" s="123"/>
      <c r="C106" s="351" t="s">
        <v>84</v>
      </c>
      <c r="D106" s="352"/>
      <c r="E106" s="353"/>
      <c r="F106" s="353"/>
      <c r="G106" s="353"/>
      <c r="H106" s="353"/>
      <c r="I106" s="353"/>
      <c r="J106" s="353"/>
      <c r="K106" s="123"/>
      <c r="L106" s="338"/>
      <c r="M106" s="338"/>
      <c r="N106" s="123"/>
      <c r="O106" s="123"/>
    </row>
    <row r="107" spans="1:25" ht="15" thickBot="1" x14ac:dyDescent="0.35">
      <c r="A107" s="123"/>
      <c r="B107" s="123"/>
      <c r="C107" s="300" t="s">
        <v>85</v>
      </c>
      <c r="D107" s="300"/>
      <c r="E107" s="353"/>
      <c r="F107" s="353"/>
      <c r="G107" s="353"/>
      <c r="H107" s="353"/>
      <c r="I107" s="353"/>
      <c r="J107" s="353"/>
      <c r="K107" s="123"/>
      <c r="L107" s="338"/>
      <c r="M107" s="338"/>
      <c r="N107" s="123"/>
      <c r="O107" s="123"/>
    </row>
    <row r="108" spans="1:25" ht="15" thickBot="1" x14ac:dyDescent="0.35">
      <c r="A108" s="123"/>
      <c r="B108" s="123"/>
      <c r="C108" s="352" t="s">
        <v>32</v>
      </c>
      <c r="D108" s="352"/>
      <c r="E108" s="353"/>
      <c r="F108" s="353"/>
      <c r="G108" s="353"/>
      <c r="H108" s="353"/>
      <c r="I108" s="353"/>
      <c r="J108" s="353"/>
      <c r="K108" s="123"/>
      <c r="L108" s="338"/>
      <c r="M108" s="338"/>
      <c r="N108" s="123"/>
      <c r="O108" s="123"/>
    </row>
    <row r="109" spans="1:25" ht="15" thickBot="1" x14ac:dyDescent="0.35">
      <c r="A109" s="123"/>
      <c r="B109" s="123"/>
      <c r="C109" s="300" t="s">
        <v>35</v>
      </c>
      <c r="D109" s="300"/>
      <c r="E109" s="353"/>
      <c r="F109" s="353"/>
      <c r="G109" s="353"/>
      <c r="H109" s="353"/>
      <c r="I109" s="353"/>
      <c r="J109" s="353"/>
      <c r="K109" s="123"/>
      <c r="L109" s="347"/>
      <c r="M109" s="348"/>
      <c r="N109" s="123"/>
      <c r="O109" s="123"/>
    </row>
    <row r="110" spans="1:25" ht="15" thickBot="1" x14ac:dyDescent="0.35">
      <c r="A110" s="123"/>
      <c r="B110" s="123"/>
      <c r="C110" s="352" t="s">
        <v>48</v>
      </c>
      <c r="D110" s="352"/>
      <c r="E110" s="353"/>
      <c r="F110" s="353"/>
      <c r="G110" s="353"/>
      <c r="H110" s="353"/>
      <c r="I110" s="353"/>
      <c r="J110" s="353"/>
      <c r="K110" s="123"/>
      <c r="L110" s="347"/>
      <c r="M110" s="348"/>
      <c r="N110" s="123"/>
      <c r="O110" s="123"/>
    </row>
    <row r="111" spans="1:25" ht="15" thickBot="1" x14ac:dyDescent="0.35">
      <c r="A111" s="124"/>
      <c r="B111" s="124"/>
      <c r="C111" s="130"/>
      <c r="D111" s="130"/>
      <c r="E111" s="124"/>
      <c r="F111" s="124"/>
      <c r="G111" s="124"/>
      <c r="H111" s="124"/>
      <c r="I111" s="124"/>
      <c r="J111" s="124"/>
      <c r="K111" s="124"/>
      <c r="L111" s="127"/>
      <c r="M111" s="127"/>
      <c r="N111" s="124"/>
      <c r="O111" s="124"/>
    </row>
    <row r="112" spans="1:25" ht="15.6" thickTop="1" thickBot="1" x14ac:dyDescent="0.3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ht="16.5" customHeight="1" thickTop="1" thickBot="1" x14ac:dyDescent="0.35">
      <c r="A113" s="21"/>
      <c r="B113" s="322" t="s">
        <v>67</v>
      </c>
      <c r="C113" s="323"/>
      <c r="D113" s="323"/>
      <c r="E113" s="323"/>
      <c r="F113" s="323"/>
      <c r="G113" s="323"/>
      <c r="H113" s="323"/>
      <c r="I113" s="323"/>
      <c r="J113" s="323"/>
      <c r="K113" s="336"/>
      <c r="L113" s="21"/>
      <c r="M113" s="309" t="s">
        <v>30</v>
      </c>
      <c r="N113" s="310"/>
      <c r="O113" s="21"/>
    </row>
    <row r="114" spans="1:15" ht="16.5" customHeight="1" thickTop="1" thickBot="1" x14ac:dyDescent="0.35">
      <c r="A114" s="21"/>
      <c r="B114" s="324"/>
      <c r="C114" s="325"/>
      <c r="D114" s="325"/>
      <c r="E114" s="325"/>
      <c r="F114" s="325"/>
      <c r="G114" s="325"/>
      <c r="H114" s="325"/>
      <c r="I114" s="325"/>
      <c r="J114" s="325"/>
      <c r="K114" s="326"/>
      <c r="L114" s="21"/>
      <c r="M114" s="306">
        <f>(M11+M47+M51+M67+M77+M81)</f>
        <v>0</v>
      </c>
      <c r="N114" s="307"/>
      <c r="O114" s="21"/>
    </row>
    <row r="115" spans="1:15" ht="16.5" customHeight="1" thickTop="1" thickBot="1" x14ac:dyDescent="0.35">
      <c r="A115" s="21"/>
      <c r="B115" s="66"/>
      <c r="C115" s="66"/>
      <c r="D115" s="66"/>
      <c r="E115" s="66"/>
      <c r="F115" s="21"/>
      <c r="G115" s="55"/>
      <c r="H115" s="55"/>
      <c r="I115" s="21"/>
      <c r="J115" s="67"/>
      <c r="K115" s="67"/>
      <c r="L115" s="67"/>
      <c r="M115" s="321" t="str">
        <f>IF(AND(M114&gt;1,M6="Non-state"),"inc GST","")</f>
        <v/>
      </c>
      <c r="N115" s="321"/>
      <c r="O115" s="21"/>
    </row>
    <row r="116" spans="1:15" ht="16.5" customHeight="1" thickBot="1" x14ac:dyDescent="0.35">
      <c r="A116" s="21"/>
      <c r="B116" s="68"/>
      <c r="C116" s="333" t="s">
        <v>66</v>
      </c>
      <c r="D116" s="334"/>
      <c r="E116" s="334"/>
      <c r="F116" s="334"/>
      <c r="G116" s="334"/>
      <c r="H116" s="334"/>
      <c r="I116" s="334"/>
      <c r="J116" s="334"/>
      <c r="K116" s="334"/>
      <c r="L116" s="334"/>
      <c r="M116" s="335"/>
      <c r="N116" s="67"/>
      <c r="O116" s="21"/>
    </row>
    <row r="117" spans="1:15" ht="16.5" customHeight="1" thickBot="1" x14ac:dyDescent="0.35">
      <c r="A117" s="25"/>
      <c r="B117" s="2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25"/>
    </row>
    <row r="118" spans="1:15" ht="16.5" customHeight="1" thickTop="1" thickBot="1" x14ac:dyDescent="0.35">
      <c r="A118" s="48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60"/>
      <c r="N118" s="57"/>
      <c r="O118" s="48"/>
    </row>
    <row r="119" spans="1:15" ht="16.5" customHeight="1" thickTop="1" x14ac:dyDescent="0.3">
      <c r="A119" s="48"/>
      <c r="B119" s="322" t="s">
        <v>68</v>
      </c>
      <c r="C119" s="323"/>
      <c r="D119" s="323"/>
      <c r="E119" s="323"/>
      <c r="F119" s="323"/>
      <c r="G119" s="323"/>
      <c r="H119" s="323"/>
      <c r="I119" s="131"/>
      <c r="J119" s="327" t="s">
        <v>112</v>
      </c>
      <c r="K119" s="328"/>
      <c r="L119" s="328"/>
      <c r="M119" s="328"/>
      <c r="N119" s="329"/>
      <c r="O119" s="48"/>
    </row>
    <row r="120" spans="1:15" ht="16.5" customHeight="1" thickBot="1" x14ac:dyDescent="0.35">
      <c r="A120" s="48"/>
      <c r="B120" s="324"/>
      <c r="C120" s="325"/>
      <c r="D120" s="325"/>
      <c r="E120" s="325"/>
      <c r="F120" s="325"/>
      <c r="G120" s="325"/>
      <c r="H120" s="326"/>
      <c r="I120" s="131"/>
      <c r="J120" s="330"/>
      <c r="K120" s="331"/>
      <c r="L120" s="331"/>
      <c r="M120" s="331"/>
      <c r="N120" s="332"/>
      <c r="O120" s="48"/>
    </row>
    <row r="121" spans="1:15" ht="16.5" customHeight="1" thickTop="1" thickBot="1" x14ac:dyDescent="0.35">
      <c r="A121" s="48"/>
      <c r="B121" s="59"/>
      <c r="C121" s="57"/>
      <c r="D121" s="85"/>
      <c r="E121" s="85"/>
      <c r="F121" s="85"/>
      <c r="G121" s="85"/>
      <c r="H121" s="85"/>
      <c r="I121" s="85"/>
      <c r="J121" s="85"/>
      <c r="K121" s="85"/>
      <c r="L121" s="85"/>
      <c r="M121" s="57"/>
      <c r="N121" s="57"/>
      <c r="O121" s="48"/>
    </row>
    <row r="122" spans="1:15" ht="16.5" customHeight="1" thickBot="1" x14ac:dyDescent="0.35">
      <c r="A122" s="48"/>
      <c r="B122" s="59"/>
      <c r="C122" s="57"/>
      <c r="D122" s="57"/>
      <c r="E122" s="57"/>
      <c r="F122" s="57"/>
      <c r="G122" s="57"/>
      <c r="H122" s="248" t="s">
        <v>79</v>
      </c>
      <c r="I122" s="248"/>
      <c r="J122" s="248"/>
      <c r="K122" s="248"/>
      <c r="L122" s="57"/>
      <c r="M122" s="57"/>
      <c r="N122" s="57"/>
      <c r="O122" s="48"/>
    </row>
    <row r="123" spans="1:15" ht="16.5" customHeight="1" thickTop="1" thickBot="1" x14ac:dyDescent="0.35">
      <c r="A123" s="48"/>
      <c r="B123" s="265" t="s">
        <v>69</v>
      </c>
      <c r="C123" s="265"/>
      <c r="D123" s="56"/>
      <c r="E123" s="311" t="s">
        <v>78</v>
      </c>
      <c r="F123" s="312"/>
      <c r="G123" s="86" t="s">
        <v>80</v>
      </c>
      <c r="H123" s="313"/>
      <c r="I123" s="314"/>
      <c r="J123" s="317"/>
      <c r="K123" s="318"/>
      <c r="L123" s="57"/>
      <c r="M123" s="309" t="s">
        <v>30</v>
      </c>
      <c r="N123" s="310"/>
      <c r="O123" s="48"/>
    </row>
    <row r="124" spans="1:15" ht="16.5" customHeight="1" thickTop="1" thickBot="1" x14ac:dyDescent="0.35">
      <c r="A124" s="48"/>
      <c r="B124" s="308"/>
      <c r="C124" s="308"/>
      <c r="D124" s="56"/>
      <c r="E124" s="277">
        <f>L103</f>
        <v>0</v>
      </c>
      <c r="F124" s="278"/>
      <c r="G124" s="86" t="s">
        <v>81</v>
      </c>
      <c r="H124" s="315">
        <v>0</v>
      </c>
      <c r="I124" s="316"/>
      <c r="J124" s="319">
        <v>0</v>
      </c>
      <c r="K124" s="320"/>
      <c r="L124" s="57"/>
      <c r="M124" s="306">
        <f>(B124+E124+H124+J124)</f>
        <v>0</v>
      </c>
      <c r="N124" s="307"/>
      <c r="O124" s="48"/>
    </row>
    <row r="125" spans="1:15" ht="15" thickBot="1" x14ac:dyDescent="0.35">
      <c r="A125" s="49"/>
      <c r="B125" s="58"/>
      <c r="C125" s="58"/>
      <c r="D125" s="58"/>
      <c r="E125" s="231" t="str">
        <f>IF(E124&gt;0,"inc GST","")</f>
        <v/>
      </c>
      <c r="F125" s="231"/>
      <c r="G125" s="49"/>
      <c r="H125" s="49"/>
      <c r="I125" s="49"/>
      <c r="J125" s="49"/>
      <c r="K125" s="49"/>
      <c r="L125" s="49"/>
      <c r="M125" s="49"/>
      <c r="N125" s="49"/>
      <c r="O125" s="49"/>
    </row>
    <row r="126" spans="1:15" ht="15" thickTop="1" x14ac:dyDescent="0.3"/>
    <row r="127" spans="1:15" ht="16.5" customHeight="1" x14ac:dyDescent="0.3"/>
    <row r="128" spans="1:15" ht="16.5" customHeight="1" x14ac:dyDescent="0.3"/>
  </sheetData>
  <sheetProtection algorithmName="SHA-512" hashValue="p9AEAeJy2mGLf9rx3ps7DCJTgQnSxvx44Fp5VOUZp7EihrOmhECb5HxQtBDc80TkLBhkk+gEMvLnffXukNuYWA==" saltValue="USvGo7g2g/y8didpSe2stg==" spinCount="100000" sheet="1" selectLockedCells="1"/>
  <mergeCells count="171">
    <mergeCell ref="R16:T16"/>
    <mergeCell ref="R25:T25"/>
    <mergeCell ref="M51:N51"/>
    <mergeCell ref="L109:M109"/>
    <mergeCell ref="L105:M105"/>
    <mergeCell ref="H55:J55"/>
    <mergeCell ref="D54:K54"/>
    <mergeCell ref="C57:D57"/>
    <mergeCell ref="E57:F57"/>
    <mergeCell ref="G57:H57"/>
    <mergeCell ref="I57:J57"/>
    <mergeCell ref="Q62:R62"/>
    <mergeCell ref="J58:K58"/>
    <mergeCell ref="B58:H59"/>
    <mergeCell ref="E56:G56"/>
    <mergeCell ref="H56:J56"/>
    <mergeCell ref="E55:G55"/>
    <mergeCell ref="R58:S58"/>
    <mergeCell ref="T58:U58"/>
    <mergeCell ref="M78:N78"/>
    <mergeCell ref="M82:N82"/>
    <mergeCell ref="L96:N96"/>
    <mergeCell ref="B86:C86"/>
    <mergeCell ref="B89:C89"/>
    <mergeCell ref="B92:C92"/>
    <mergeCell ref="B95:C95"/>
    <mergeCell ref="L93:N93"/>
    <mergeCell ref="D97:J97"/>
    <mergeCell ref="E80:I80"/>
    <mergeCell ref="M80:N80"/>
    <mergeCell ref="M81:N81"/>
    <mergeCell ref="C108:D108"/>
    <mergeCell ref="E108:J108"/>
    <mergeCell ref="E109:J109"/>
    <mergeCell ref="M61:N61"/>
    <mergeCell ref="B83:C83"/>
    <mergeCell ref="L84:N84"/>
    <mergeCell ref="L87:N87"/>
    <mergeCell ref="E67:J67"/>
    <mergeCell ref="L107:M107"/>
    <mergeCell ref="L108:M108"/>
    <mergeCell ref="F73:G73"/>
    <mergeCell ref="L90:N90"/>
    <mergeCell ref="M77:N77"/>
    <mergeCell ref="M76:N76"/>
    <mergeCell ref="B74:C74"/>
    <mergeCell ref="B75:C75"/>
    <mergeCell ref="J77:K77"/>
    <mergeCell ref="D77:I77"/>
    <mergeCell ref="E81:K81"/>
    <mergeCell ref="M68:N68"/>
    <mergeCell ref="C109:D109"/>
    <mergeCell ref="L103:M103"/>
    <mergeCell ref="L106:M106"/>
    <mergeCell ref="B99:C99"/>
    <mergeCell ref="C101:D101"/>
    <mergeCell ref="C102:J103"/>
    <mergeCell ref="L102:M102"/>
    <mergeCell ref="L110:M110"/>
    <mergeCell ref="F100:K100"/>
    <mergeCell ref="C105:D105"/>
    <mergeCell ref="C106:D106"/>
    <mergeCell ref="C107:D107"/>
    <mergeCell ref="C110:D110"/>
    <mergeCell ref="E106:J106"/>
    <mergeCell ref="E107:J107"/>
    <mergeCell ref="E110:J110"/>
    <mergeCell ref="G105:H105"/>
    <mergeCell ref="L104:M104"/>
    <mergeCell ref="M124:N124"/>
    <mergeCell ref="B123:C123"/>
    <mergeCell ref="B124:C124"/>
    <mergeCell ref="M113:N113"/>
    <mergeCell ref="M114:N114"/>
    <mergeCell ref="E123:F123"/>
    <mergeCell ref="E124:F124"/>
    <mergeCell ref="H123:I123"/>
    <mergeCell ref="H124:I124"/>
    <mergeCell ref="H122:K122"/>
    <mergeCell ref="J123:K123"/>
    <mergeCell ref="J124:K124"/>
    <mergeCell ref="M115:N115"/>
    <mergeCell ref="B119:H120"/>
    <mergeCell ref="J119:N120"/>
    <mergeCell ref="C116:M116"/>
    <mergeCell ref="B113:K114"/>
    <mergeCell ref="M123:N123"/>
    <mergeCell ref="G79:H79"/>
    <mergeCell ref="G3:H3"/>
    <mergeCell ref="B8:D8"/>
    <mergeCell ref="B13:C13"/>
    <mergeCell ref="F40:F41"/>
    <mergeCell ref="G40:G41"/>
    <mergeCell ref="E50:G51"/>
    <mergeCell ref="H50:H51"/>
    <mergeCell ref="C26:D26"/>
    <mergeCell ref="C32:D32"/>
    <mergeCell ref="C38:D38"/>
    <mergeCell ref="C44:D44"/>
    <mergeCell ref="F74:G74"/>
    <mergeCell ref="B79:C79"/>
    <mergeCell ref="H65:H66"/>
    <mergeCell ref="E11:J11"/>
    <mergeCell ref="E47:J47"/>
    <mergeCell ref="F72:H72"/>
    <mergeCell ref="B73:C73"/>
    <mergeCell ref="F7:I7"/>
    <mergeCell ref="X101:Y101"/>
    <mergeCell ref="X102:Y102"/>
    <mergeCell ref="M52:N52"/>
    <mergeCell ref="I66:J66"/>
    <mergeCell ref="E16:E17"/>
    <mergeCell ref="G16:G17"/>
    <mergeCell ref="F16:F17"/>
    <mergeCell ref="H16:H17"/>
    <mergeCell ref="G22:G23"/>
    <mergeCell ref="H22:H23"/>
    <mergeCell ref="E28:E29"/>
    <mergeCell ref="F28:F29"/>
    <mergeCell ref="G28:G29"/>
    <mergeCell ref="H28:H29"/>
    <mergeCell ref="E22:E23"/>
    <mergeCell ref="F22:F23"/>
    <mergeCell ref="G34:G35"/>
    <mergeCell ref="H34:H35"/>
    <mergeCell ref="E40:E41"/>
    <mergeCell ref="J75:K75"/>
    <mergeCell ref="J76:K76"/>
    <mergeCell ref="M66:N66"/>
    <mergeCell ref="M67:N67"/>
    <mergeCell ref="B65:G66"/>
    <mergeCell ref="E125:F125"/>
    <mergeCell ref="M2:N3"/>
    <mergeCell ref="M6:N6"/>
    <mergeCell ref="M48:N48"/>
    <mergeCell ref="B72:D72"/>
    <mergeCell ref="J61:K61"/>
    <mergeCell ref="J62:K62"/>
    <mergeCell ref="B61:E62"/>
    <mergeCell ref="F61:I61"/>
    <mergeCell ref="F62:I62"/>
    <mergeCell ref="B53:C53"/>
    <mergeCell ref="B64:J64"/>
    <mergeCell ref="B69:C69"/>
    <mergeCell ref="J59:K59"/>
    <mergeCell ref="M50:N50"/>
    <mergeCell ref="G6:H6"/>
    <mergeCell ref="M10:N10"/>
    <mergeCell ref="M11:N11"/>
    <mergeCell ref="M46:N46"/>
    <mergeCell ref="M12:N12"/>
    <mergeCell ref="M58:N60"/>
    <mergeCell ref="B2:E2"/>
    <mergeCell ref="B4:E4"/>
    <mergeCell ref="C71:G71"/>
    <mergeCell ref="G1:I1"/>
    <mergeCell ref="D22:D23"/>
    <mergeCell ref="D28:D29"/>
    <mergeCell ref="D34:D35"/>
    <mergeCell ref="D40:D41"/>
    <mergeCell ref="J3:K3"/>
    <mergeCell ref="M47:N47"/>
    <mergeCell ref="I65:J65"/>
    <mergeCell ref="B18:D18"/>
    <mergeCell ref="D13:G13"/>
    <mergeCell ref="J6:K6"/>
    <mergeCell ref="E34:E35"/>
    <mergeCell ref="F34:F35"/>
    <mergeCell ref="D14:G14"/>
    <mergeCell ref="B49:C49"/>
    <mergeCell ref="B5:E5"/>
  </mergeCells>
  <conditionalFormatting sqref="L12">
    <cfRule type="colorScale" priority="5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9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2"/>
  <sheetViews>
    <sheetView workbookViewId="0">
      <selection activeCell="I26" sqref="I26"/>
    </sheetView>
  </sheetViews>
  <sheetFormatPr defaultRowHeight="14.4" x14ac:dyDescent="0.3"/>
  <sheetData>
    <row r="1" spans="1:7" x14ac:dyDescent="0.3">
      <c r="A1" s="379" t="str">
        <f>IF('Camp Costing Calculator'!M6="-","-",IF('Camp Costing Calculator'!M6="State",'Camp Costing Calculator'!B5,IF('Camp Costing Calculator'!M6="Non-state","-",)))</f>
        <v>-</v>
      </c>
      <c r="B1" s="379"/>
      <c r="C1" s="379"/>
      <c r="D1" s="134" t="str">
        <f>'Camp Costing Calculator'!G1</f>
        <v>Primary Students 2024</v>
      </c>
      <c r="E1" s="379" t="str">
        <f>IF('Camp Costing Calculator'!M6="-","-",IF('Camp Costing Calculator'!M6="State","State",IF('Camp Costing Calculator'!M6="Non-state","-",)))</f>
        <v>-</v>
      </c>
      <c r="F1" s="379"/>
    </row>
    <row r="3" spans="1:7" x14ac:dyDescent="0.3">
      <c r="A3" s="112" t="str">
        <f>'Camp Costing Calculator'!G4</f>
        <v>Days</v>
      </c>
      <c r="B3" s="112" t="str">
        <f>'Camp Costing Calculator'!H4</f>
        <v>Nights</v>
      </c>
      <c r="C3" s="112" t="str">
        <f>'Camp Costing Calculator'!J4</f>
        <v>Students</v>
      </c>
      <c r="D3" s="112" t="str">
        <f>'Camp Costing Calculator'!K4</f>
        <v>Adults</v>
      </c>
    </row>
    <row r="4" spans="1:7" x14ac:dyDescent="0.3">
      <c r="A4" s="112" t="str">
        <f>IF('Camp Costing Calculator'!M6="-","-",IF('Camp Costing Calculator'!M6="State",'Camp Costing Calculator'!G5,IF('Camp Costing Calculator'!M6="Non-state","-",)))</f>
        <v>-</v>
      </c>
      <c r="B4" s="112" t="str">
        <f>IF('Camp Costing Calculator'!M6="-","-",IF('Camp Costing Calculator'!M6="State",'Camp Costing Calculator'!H5,IF('Camp Costing Calculator'!M6="Non-state","-",)))</f>
        <v>-</v>
      </c>
      <c r="C4" s="112" t="str">
        <f>IF('Camp Costing Calculator'!M6="-","-",IF('Camp Costing Calculator'!M6="State",'Camp Costing Calculator'!J5,IF('Camp Costing Calculator'!M6="Non-state","-",)))</f>
        <v>-</v>
      </c>
      <c r="D4" s="112" t="str">
        <f>IF('Camp Costing Calculator'!M6="-","-",IF('Camp Costing Calculator'!M6="State",'Camp Costing Calculator'!K5,IF('Camp Costing Calculator'!M6="Non-state","-",)))</f>
        <v>-</v>
      </c>
    </row>
    <row r="5" spans="1:7" ht="15" thickBot="1" x14ac:dyDescent="0.35">
      <c r="A5" s="119"/>
      <c r="B5" s="119"/>
      <c r="C5" s="119"/>
      <c r="D5" s="119"/>
      <c r="E5" s="119"/>
      <c r="F5" s="119"/>
    </row>
    <row r="6" spans="1:7" ht="15" thickTop="1" x14ac:dyDescent="0.3">
      <c r="A6" s="400" t="s">
        <v>110</v>
      </c>
      <c r="B6" s="401"/>
      <c r="C6" s="165"/>
      <c r="D6" s="118" t="s">
        <v>10</v>
      </c>
    </row>
    <row r="7" spans="1:7" x14ac:dyDescent="0.3">
      <c r="B7" s="115"/>
      <c r="C7" s="156" t="str">
        <f>'Camp Costing Calculator'!K10</f>
        <v>/night</v>
      </c>
      <c r="D7" s="113" t="str">
        <f>IF('Camp Costing Calculator'!M6="-","-",IF('Camp Costing Calculator'!M6="State",'Camp Costing Calculator'!L10,IF('Camp Costing Calculator'!M6="Non-state","-",)))</f>
        <v>-</v>
      </c>
      <c r="E7" s="379" t="s">
        <v>70</v>
      </c>
      <c r="F7" s="379"/>
    </row>
    <row r="8" spans="1:7" x14ac:dyDescent="0.3">
      <c r="B8" s="114"/>
      <c r="C8" s="116" t="str">
        <f>'Camp Costing Calculator'!K11</f>
        <v>total</v>
      </c>
      <c r="D8" s="117" t="str">
        <f>IF('Camp Costing Calculator'!M6="-","-",IF('Camp Costing Calculator'!M6="State",'Camp Costing Calculator'!L11,IF('Camp Costing Calculator'!M6="Non-state","-",)))</f>
        <v>-</v>
      </c>
      <c r="E8" s="413" t="str">
        <f>IF('Camp Costing Calculator'!M6="-","-",IF('Camp Costing Calculator'!M6="State",'Camp Costing Calculator'!M11,IF('Camp Costing Calculator'!M6="Non-state","-",)))</f>
        <v>-</v>
      </c>
      <c r="F8" s="413"/>
    </row>
    <row r="9" spans="1:7" ht="15" thickBot="1" x14ac:dyDescent="0.35">
      <c r="A9" s="119"/>
      <c r="B9" s="119"/>
      <c r="C9" s="119"/>
      <c r="D9" s="119"/>
      <c r="E9" s="415" t="str">
        <f>IF(OR(D26="-",D26=0),"","(includes anomaly figure)")</f>
        <v/>
      </c>
      <c r="F9" s="415"/>
      <c r="G9" s="181"/>
    </row>
    <row r="10" spans="1:7" ht="15" thickTop="1" x14ac:dyDescent="0.3">
      <c r="A10" s="404" t="str">
        <f>'Camp Costing Calculator'!B13</f>
        <v>Meal Prices</v>
      </c>
      <c r="B10" s="404"/>
      <c r="D10" s="120" t="s">
        <v>20</v>
      </c>
      <c r="E10" s="405" t="s">
        <v>70</v>
      </c>
      <c r="F10" s="405"/>
    </row>
    <row r="11" spans="1:7" x14ac:dyDescent="0.3">
      <c r="D11" s="117" t="str">
        <f>IF('Camp Costing Calculator'!M6="-","-",IF('Camp Costing Calculator'!M6="State",'Camp Costing Calculator'!L47,IF('Camp Costing Calculator'!M6="Non-state","-",)))</f>
        <v>-</v>
      </c>
      <c r="E11" s="435" t="str">
        <f>IF('Camp Costing Calculator'!M6="-","-",IF('Camp Costing Calculator'!M6="State",'Camp Costing Calculator'!M47,IF('Camp Costing Calculator'!M6="Non-state","-",)))</f>
        <v>-</v>
      </c>
      <c r="F11" s="435"/>
    </row>
    <row r="12" spans="1:7" ht="15" thickBot="1" x14ac:dyDescent="0.35">
      <c r="A12" s="119"/>
      <c r="B12" s="119"/>
      <c r="C12" s="119"/>
      <c r="D12" s="119"/>
      <c r="E12" s="415" t="str">
        <f>IF(OR(D27="-",D27=0),"","(includes anomaly figure)")</f>
        <v/>
      </c>
      <c r="F12" s="415"/>
      <c r="G12" s="159"/>
    </row>
    <row r="13" spans="1:7" ht="15" thickTop="1" x14ac:dyDescent="0.3">
      <c r="A13" s="400" t="str">
        <f>'Camp Costing Calculator'!B49</f>
        <v>T-Shirts</v>
      </c>
      <c r="B13" s="414"/>
      <c r="C13" s="164"/>
      <c r="D13" s="120" t="s">
        <v>20</v>
      </c>
      <c r="E13" s="405" t="s">
        <v>70</v>
      </c>
      <c r="F13" s="405"/>
    </row>
    <row r="14" spans="1:7" x14ac:dyDescent="0.3">
      <c r="A14" s="114"/>
      <c r="D14" s="117" t="str">
        <f>IF('Camp Costing Calculator'!M6="-","-",IF('Camp Costing Calculator'!M6="State",'Camp Costing Calculator'!L51,IF('Camp Costing Calculator'!M6="Non-state","-",)))</f>
        <v>-</v>
      </c>
      <c r="E14" s="403" t="str">
        <f>IF('Camp Costing Calculator'!M6="-","-",IF('Camp Costing Calculator'!M6="State",'Camp Costing Calculator'!M51,IF('Camp Costing Calculator'!M6="Non-state","-",)))</f>
        <v>-</v>
      </c>
      <c r="F14" s="403"/>
    </row>
    <row r="15" spans="1:7" ht="15" thickBot="1" x14ac:dyDescent="0.35">
      <c r="A15" s="119"/>
      <c r="B15" s="119"/>
      <c r="C15" s="119"/>
      <c r="D15" s="119"/>
      <c r="E15" s="119"/>
      <c r="F15" s="119"/>
    </row>
    <row r="16" spans="1:7" ht="15" thickTop="1" x14ac:dyDescent="0.3">
      <c r="A16" s="400" t="str">
        <f>'Camp Costing Calculator'!B53</f>
        <v>Boating</v>
      </c>
      <c r="B16" s="401"/>
      <c r="C16" s="164"/>
      <c r="D16" s="120" t="s">
        <v>20</v>
      </c>
      <c r="E16" s="404" t="s">
        <v>70</v>
      </c>
      <c r="F16" s="404"/>
    </row>
    <row r="17" spans="1:7" x14ac:dyDescent="0.3">
      <c r="D17" s="117" t="str">
        <f>IF('Camp Costing Calculator'!M6="-","-",IF('Camp Costing Calculator'!M6="State",'Camp Costing Calculator'!L67,IF('Camp Costing Calculator'!M6="Non-state","-",)))</f>
        <v>-</v>
      </c>
      <c r="E17" s="403" t="str">
        <f>IF('Camp Costing Calculator'!M6="-","-",IF('Camp Costing Calculator'!M6="State",'Camp Costing Calculator'!M67,IF('Camp Costing Calculator'!M6="Non-state","-",)))</f>
        <v>-</v>
      </c>
      <c r="F17" s="403"/>
    </row>
    <row r="18" spans="1:7" ht="15" thickBot="1" x14ac:dyDescent="0.35">
      <c r="A18" s="119"/>
      <c r="B18" s="119"/>
      <c r="C18" s="119"/>
      <c r="D18" s="119"/>
      <c r="E18" s="415" t="str">
        <f>IF(OR(D28="-",D28=0),"","(includes anomaly figure)")</f>
        <v/>
      </c>
      <c r="F18" s="415"/>
      <c r="G18" s="159"/>
    </row>
    <row r="19" spans="1:7" ht="15" thickTop="1" x14ac:dyDescent="0.3">
      <c r="A19" s="400" t="str">
        <f>'Camp Costing Calculator'!B69</f>
        <v>Climbing</v>
      </c>
      <c r="B19" s="414"/>
      <c r="C19" s="164"/>
      <c r="D19" s="118" t="s">
        <v>10</v>
      </c>
      <c r="E19" s="405" t="s">
        <v>70</v>
      </c>
      <c r="F19" s="405"/>
    </row>
    <row r="20" spans="1:7" x14ac:dyDescent="0.3">
      <c r="B20" s="151"/>
      <c r="C20" s="152"/>
      <c r="D20" s="117" t="str">
        <f>IF('Camp Costing Calculator'!M6="-","-",IF('Camp Costing Calculator'!M6="Non-State","-",IF(AND('Camp Costing Calculator'!M6="State",'Camp Costing Calculator'!L75&gt;0),'Camp Costing Calculator'!L75,IF(AND('Camp Costing Calculator'!M6="State",'Camp Costing Calculator'!L76&gt;0),'Camp Costing Calculator'!L76,IF(AND('Camp Costing Calculator'!M6="State",'Camp Costing Calculator'!L77&gt;0),'Camp Costing Calculator'!L77,0)))))</f>
        <v>-</v>
      </c>
      <c r="E20" s="403" t="str">
        <f>IF('Camp Costing Calculator'!M6="-","-",IF('Camp Costing Calculator'!M6="State",'Camp Costing Calculator'!M77,IF('Camp Costing Calculator'!M6="Non-state","-",)))</f>
        <v>-</v>
      </c>
      <c r="F20" s="403"/>
    </row>
    <row r="21" spans="1:7" ht="15" thickBot="1" x14ac:dyDescent="0.35">
      <c r="A21" s="119"/>
      <c r="B21" s="162"/>
      <c r="C21" s="162"/>
      <c r="D21" s="163"/>
      <c r="E21" s="415" t="str">
        <f>IF(OR(D29="-",D29=0),"","(includes anomaly figure)")</f>
        <v/>
      </c>
      <c r="F21" s="415"/>
      <c r="G21" s="159"/>
    </row>
    <row r="22" spans="1:7" ht="15" thickTop="1" x14ac:dyDescent="0.3">
      <c r="A22" s="404" t="str">
        <f>'Camp Costing Calculator'!B79</f>
        <v>Photography</v>
      </c>
      <c r="B22" s="404"/>
      <c r="D22" s="120" t="s">
        <v>10</v>
      </c>
      <c r="E22" s="405" t="s">
        <v>70</v>
      </c>
      <c r="F22" s="405"/>
    </row>
    <row r="23" spans="1:7" x14ac:dyDescent="0.3">
      <c r="D23" s="117" t="str">
        <f>IF('Camp Costing Calculator'!M6="-","-",IF('Camp Costing Calculator'!M6="State",'Camp Costing Calculator'!L81,IF('Camp Costing Calculator'!M6="Non-state","-",)))</f>
        <v>-</v>
      </c>
      <c r="E23" s="403" t="str">
        <f>IF('Camp Costing Calculator'!M6="-","-",IF('Camp Costing Calculator'!M6="State",'Camp Costing Calculator'!M81,IF('Camp Costing Calculator'!M6="Non-state","-",)))</f>
        <v>-</v>
      </c>
      <c r="F23" s="403"/>
    </row>
    <row r="24" spans="1:7" ht="15" thickBot="1" x14ac:dyDescent="0.35">
      <c r="A24" s="119"/>
      <c r="B24" s="119"/>
      <c r="C24" s="119"/>
      <c r="D24" s="149"/>
      <c r="E24" s="416" t="str">
        <f>IF(OR(D30="-",D30=0),"","(includes anomaly figure)")</f>
        <v/>
      </c>
      <c r="F24" s="416"/>
      <c r="G24" s="160"/>
    </row>
    <row r="25" spans="1:7" ht="15" thickTop="1" x14ac:dyDescent="0.3">
      <c r="A25" s="404" t="s">
        <v>83</v>
      </c>
      <c r="B25" s="404"/>
      <c r="D25" s="406" t="s">
        <v>33</v>
      </c>
      <c r="E25" s="406"/>
      <c r="F25" s="411" t="s">
        <v>111</v>
      </c>
      <c r="G25" s="166"/>
    </row>
    <row r="26" spans="1:7" x14ac:dyDescent="0.3">
      <c r="B26" s="410" t="s">
        <v>84</v>
      </c>
      <c r="C26" s="409"/>
      <c r="D26" s="407" t="str">
        <f>IF('Camp Costing Calculator'!M6="-","-",IF('Camp Costing Calculator'!M6="State",'Camp Costing Calculator'!L106,IF('Camp Costing Calculator'!M6="Non-state","-",)))</f>
        <v>-</v>
      </c>
      <c r="E26" s="407"/>
      <c r="F26" s="412"/>
      <c r="G26" s="166"/>
    </row>
    <row r="27" spans="1:7" x14ac:dyDescent="0.3">
      <c r="B27" s="408" t="s">
        <v>85</v>
      </c>
      <c r="C27" s="409"/>
      <c r="D27" s="407" t="str">
        <f>IF('Camp Costing Calculator'!M6="-","-",IF('Camp Costing Calculator'!M6="State",'Camp Costing Calculator'!L107,IF('Camp Costing Calculator'!M6="Non-state","-",)))</f>
        <v>-</v>
      </c>
      <c r="E27" s="407"/>
      <c r="F27" s="412"/>
      <c r="G27" s="166"/>
    </row>
    <row r="28" spans="1:7" x14ac:dyDescent="0.3">
      <c r="B28" s="408" t="s">
        <v>32</v>
      </c>
      <c r="C28" s="409"/>
      <c r="D28" s="407" t="str">
        <f>IF('Camp Costing Calculator'!M6="-","-",IF('Camp Costing Calculator'!M6="State",'Camp Costing Calculator'!L108,IF('Camp Costing Calculator'!M6="Non-state","-",)))</f>
        <v>-</v>
      </c>
      <c r="E28" s="407"/>
      <c r="F28" s="412"/>
      <c r="G28" s="166"/>
    </row>
    <row r="29" spans="1:7" x14ac:dyDescent="0.3">
      <c r="B29" s="408" t="s">
        <v>35</v>
      </c>
      <c r="C29" s="409"/>
      <c r="D29" s="407" t="str">
        <f>IF('Camp Costing Calculator'!M6="-","-",IF('Camp Costing Calculator'!M6="State",'Camp Costing Calculator'!L109,IF('Camp Costing Calculator'!M6="Non-state","-",)))</f>
        <v>-</v>
      </c>
      <c r="E29" s="407"/>
      <c r="F29" s="412"/>
      <c r="G29" s="166"/>
    </row>
    <row r="30" spans="1:7" x14ac:dyDescent="0.3">
      <c r="B30" s="408" t="s">
        <v>48</v>
      </c>
      <c r="C30" s="409"/>
      <c r="D30" s="407" t="str">
        <f>IF('Camp Costing Calculator'!M6="-","-",IF('Camp Costing Calculator'!M6="State",'Camp Costing Calculator'!L110,IF('Camp Costing Calculator'!M6="Non-state","-",)))</f>
        <v>-</v>
      </c>
      <c r="E30" s="407"/>
      <c r="F30" s="412"/>
      <c r="G30" s="166"/>
    </row>
    <row r="31" spans="1:7" ht="15" thickBot="1" x14ac:dyDescent="0.35">
      <c r="F31" s="167"/>
    </row>
    <row r="32" spans="1:7" ht="15.6" thickTop="1" thickBot="1" x14ac:dyDescent="0.35">
      <c r="A32" s="402" t="s">
        <v>67</v>
      </c>
      <c r="B32" s="402"/>
      <c r="C32" s="402"/>
      <c r="E32" s="433" t="s">
        <v>70</v>
      </c>
      <c r="F32" s="433"/>
    </row>
    <row r="33" spans="1:11" ht="15.6" thickTop="1" thickBot="1" x14ac:dyDescent="0.35">
      <c r="A33" s="402"/>
      <c r="B33" s="402"/>
      <c r="C33" s="402"/>
      <c r="E33" s="434" t="str">
        <f>IF('Camp Costing Calculator'!M6="-","-",IF('Camp Costing Calculator'!M6="State",'Camp Costing Calculator'!M114,IF('Camp Costing Calculator'!M6="Non-state","-",)))</f>
        <v>-</v>
      </c>
      <c r="F33" s="434"/>
    </row>
    <row r="34" spans="1:11" ht="15.6" thickTop="1" thickBot="1" x14ac:dyDescent="0.35">
      <c r="E34" s="399" t="s">
        <v>107</v>
      </c>
      <c r="F34" s="399"/>
    </row>
    <row r="35" spans="1:11" ht="15" thickTop="1" x14ac:dyDescent="0.3">
      <c r="A35" s="417" t="s">
        <v>90</v>
      </c>
      <c r="B35" s="418"/>
      <c r="C35" s="418"/>
      <c r="D35" s="418"/>
      <c r="E35" s="418"/>
      <c r="F35" s="419"/>
    </row>
    <row r="36" spans="1:11" ht="15" thickBot="1" x14ac:dyDescent="0.35">
      <c r="A36" s="420"/>
      <c r="B36" s="421"/>
      <c r="C36" s="421"/>
      <c r="D36" s="421"/>
      <c r="E36" s="421"/>
      <c r="F36" s="422"/>
    </row>
    <row r="37" spans="1:11" ht="15.6" thickTop="1" thickBot="1" x14ac:dyDescent="0.35">
      <c r="E37" s="119"/>
      <c r="F37" s="119"/>
    </row>
    <row r="38" spans="1:11" ht="15.6" thickTop="1" thickBot="1" x14ac:dyDescent="0.35">
      <c r="A38" s="423" t="s">
        <v>89</v>
      </c>
      <c r="B38" s="424"/>
      <c r="C38" s="425"/>
      <c r="D38" s="136"/>
      <c r="E38" s="429" t="s">
        <v>70</v>
      </c>
      <c r="F38" s="430"/>
    </row>
    <row r="39" spans="1:11" ht="15.6" thickTop="1" thickBot="1" x14ac:dyDescent="0.35">
      <c r="A39" s="426"/>
      <c r="B39" s="427"/>
      <c r="C39" s="428"/>
      <c r="D39" s="136"/>
      <c r="E39" s="431" t="str">
        <f>IF('Camp Costing Calculator'!M6="-","-",IF('Camp Costing Calculator'!M6="State",'Camp Costing Calculator'!M124,IF('Camp Costing Calculator'!M6="Non-state","-",)))</f>
        <v>-</v>
      </c>
      <c r="F39" s="432"/>
    </row>
    <row r="40" spans="1:11" ht="15" thickTop="1" x14ac:dyDescent="0.3">
      <c r="C40" s="114"/>
    </row>
    <row r="41" spans="1:11" x14ac:dyDescent="0.3">
      <c r="A41" s="158"/>
      <c r="B41" s="159"/>
      <c r="C41" s="159"/>
      <c r="E41" s="159"/>
      <c r="F41" s="159"/>
    </row>
    <row r="42" spans="1:11" x14ac:dyDescent="0.3">
      <c r="A42" s="159"/>
      <c r="B42" s="159"/>
      <c r="C42" s="159"/>
      <c r="E42" s="160"/>
      <c r="F42" s="159"/>
      <c r="K42" s="114"/>
    </row>
  </sheetData>
  <sheetProtection algorithmName="SHA-512" hashValue="w+WEcXoAkp64032prH5VGhggC3u0SEiZ6u169ljjOdTMb1KxANxfE0u/UtjCnnDxhnJTV2WmIYBaoJC6R7T/0Q==" saltValue="CshRlZC/tL+JesyiJ1fQJw==" spinCount="100000" sheet="1" selectLockedCells="1" selectUnlockedCells="1"/>
  <mergeCells count="46">
    <mergeCell ref="A35:F36"/>
    <mergeCell ref="A38:C39"/>
    <mergeCell ref="E38:F38"/>
    <mergeCell ref="E39:F39"/>
    <mergeCell ref="E1:F1"/>
    <mergeCell ref="E32:F32"/>
    <mergeCell ref="E33:F33"/>
    <mergeCell ref="E11:F11"/>
    <mergeCell ref="E13:F13"/>
    <mergeCell ref="E14:F14"/>
    <mergeCell ref="E16:F16"/>
    <mergeCell ref="E17:F17"/>
    <mergeCell ref="D27:E27"/>
    <mergeCell ref="D28:E28"/>
    <mergeCell ref="D29:E29"/>
    <mergeCell ref="B29:C29"/>
    <mergeCell ref="F25:F30"/>
    <mergeCell ref="E7:F7"/>
    <mergeCell ref="E8:F8"/>
    <mergeCell ref="A10:B10"/>
    <mergeCell ref="E10:F10"/>
    <mergeCell ref="E23:F23"/>
    <mergeCell ref="A13:B13"/>
    <mergeCell ref="A16:B16"/>
    <mergeCell ref="A19:B19"/>
    <mergeCell ref="E9:F9"/>
    <mergeCell ref="E12:F12"/>
    <mergeCell ref="E18:F18"/>
    <mergeCell ref="E21:F21"/>
    <mergeCell ref="E24:F24"/>
    <mergeCell ref="E34:F34"/>
    <mergeCell ref="A6:B6"/>
    <mergeCell ref="A1:C1"/>
    <mergeCell ref="A32:C33"/>
    <mergeCell ref="E20:F20"/>
    <mergeCell ref="A22:B22"/>
    <mergeCell ref="E22:F22"/>
    <mergeCell ref="E19:F19"/>
    <mergeCell ref="A25:B25"/>
    <mergeCell ref="D25:E25"/>
    <mergeCell ref="D26:E26"/>
    <mergeCell ref="D30:E30"/>
    <mergeCell ref="B27:C27"/>
    <mergeCell ref="B28:C28"/>
    <mergeCell ref="B30:C30"/>
    <mergeCell ref="B26:C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workbookViewId="0">
      <selection activeCell="G30" sqref="G30"/>
    </sheetView>
  </sheetViews>
  <sheetFormatPr defaultRowHeight="14.4" x14ac:dyDescent="0.3"/>
  <cols>
    <col min="4" max="4" width="10" bestFit="1" customWidth="1"/>
  </cols>
  <sheetData>
    <row r="1" spans="1:7" x14ac:dyDescent="0.3">
      <c r="A1" s="379" t="str">
        <f>IF('Camp Costing Calculator'!M6="-","-",IF('Camp Costing Calculator'!M6="Non-state",'Camp Costing Calculator'!B5,IF('Camp Costing Calculator'!M6="State","-",)))</f>
        <v>-</v>
      </c>
      <c r="B1" s="379"/>
      <c r="C1" s="379"/>
      <c r="D1" s="147" t="str">
        <f>'Camp Costing Calculator'!G1</f>
        <v>Primary Students 2024</v>
      </c>
      <c r="E1" s="379" t="str">
        <f>IF('Camp Costing Calculator'!M6="-","-",IF('Camp Costing Calculator'!M6="Non-state",'Camp Costing Calculator'!M6,IF('Camp Costing Calculator'!M6="State","-",)))</f>
        <v>-</v>
      </c>
      <c r="F1" s="379"/>
    </row>
    <row r="3" spans="1:7" x14ac:dyDescent="0.3">
      <c r="A3" s="146" t="str">
        <f>'Camp Costing Calculator'!G4</f>
        <v>Days</v>
      </c>
      <c r="B3" s="146" t="str">
        <f>'Camp Costing Calculator'!H4</f>
        <v>Nights</v>
      </c>
      <c r="C3" s="146" t="str">
        <f>'Camp Costing Calculator'!J4</f>
        <v>Students</v>
      </c>
      <c r="D3" s="146" t="str">
        <f>'Camp Costing Calculator'!K4</f>
        <v>Adults</v>
      </c>
    </row>
    <row r="4" spans="1:7" x14ac:dyDescent="0.3">
      <c r="A4" s="146" t="str">
        <f>IF('Camp Costing Calculator'!M6="-","-",IF('Camp Costing Calculator'!M6="Non-state",'Camp Costing Calculator'!G5,IF('Camp Costing Calculator'!M6="State","-",)))</f>
        <v>-</v>
      </c>
      <c r="B4" s="146" t="str">
        <f>IF('Camp Costing Calculator'!M6="-","-",IF('Camp Costing Calculator'!M6="Non-state",'Camp Costing Calculator'!H5,IF('Camp Costing Calculator'!M6="State","-",)))</f>
        <v>-</v>
      </c>
      <c r="C4" s="146" t="str">
        <f>IF('Camp Costing Calculator'!M6="-","-",IF('Camp Costing Calculator'!M6="Non-state",'Camp Costing Calculator'!J5,IF('Camp Costing Calculator'!M6="State","-",)))</f>
        <v>-</v>
      </c>
      <c r="D4" s="146" t="str">
        <f>IF('Camp Costing Calculator'!M6="-","-",IF('Camp Costing Calculator'!M6="Non-state",'Camp Costing Calculator'!K5,IF('Camp Costing Calculator'!M6="State","-",)))</f>
        <v>-</v>
      </c>
    </row>
    <row r="5" spans="1:7" ht="15" thickBot="1" x14ac:dyDescent="0.35">
      <c r="A5" s="119"/>
      <c r="B5" s="119"/>
      <c r="C5" s="119"/>
      <c r="D5" s="119"/>
      <c r="E5" s="119"/>
      <c r="F5" s="119"/>
    </row>
    <row r="6" spans="1:7" ht="15" thickTop="1" x14ac:dyDescent="0.3">
      <c r="A6" s="400" t="s">
        <v>110</v>
      </c>
      <c r="B6" s="401"/>
      <c r="C6" s="165"/>
      <c r="D6" s="118" t="s">
        <v>10</v>
      </c>
      <c r="E6" s="400" t="s">
        <v>70</v>
      </c>
      <c r="F6" s="401"/>
    </row>
    <row r="7" spans="1:7" x14ac:dyDescent="0.3">
      <c r="B7" s="115" t="s">
        <v>109</v>
      </c>
      <c r="C7" s="156" t="s">
        <v>109</v>
      </c>
      <c r="D7" s="154" t="str">
        <f>IF('Camp Costing Calculator'!M6="-","-",IF('Camp Costing Calculator'!M6="Non-state",D8/1.1,IF('Camp Costing Calculator'!M6="State","-",)))</f>
        <v>-</v>
      </c>
      <c r="E7" s="454" t="str">
        <f>IF('Camp Costing Calculator'!M6="-","-",IF('Camp Costing Calculator'!M6="Non-state",E8/1.1,IF('Camp Costing Calculator'!M6="State","-",)))</f>
        <v>-</v>
      </c>
      <c r="F7" s="455"/>
      <c r="G7" t="s">
        <v>107</v>
      </c>
    </row>
    <row r="8" spans="1:7" x14ac:dyDescent="0.3">
      <c r="B8" s="114"/>
      <c r="C8" s="148"/>
      <c r="D8" s="157" t="str">
        <f>IF('Camp Costing Calculator'!M6="-","-",IF('Camp Costing Calculator'!M6="Non-state",'Camp Costing Calculator'!L11,IF('Camp Costing Calculator'!M6="State","-",)))</f>
        <v>-</v>
      </c>
      <c r="E8" s="454" t="str">
        <f>IF('Camp Costing Calculator'!M6="-","-",IF('Camp Costing Calculator'!M6="Non-state",'Camp Costing Calculator'!M11,IF('Camp Costing Calculator'!M6="State","-",)))</f>
        <v>-</v>
      </c>
      <c r="F8" s="455"/>
      <c r="G8" t="s">
        <v>108</v>
      </c>
    </row>
    <row r="9" spans="1:7" ht="15" thickBot="1" x14ac:dyDescent="0.35">
      <c r="A9" s="119"/>
      <c r="B9" s="119"/>
      <c r="C9" s="168"/>
      <c r="D9" s="119"/>
      <c r="E9" s="415" t="str">
        <f>IF(OR(D31="-",D31=0),"","(includes anomaly figure)")</f>
        <v/>
      </c>
      <c r="F9" s="415"/>
      <c r="G9" s="159"/>
    </row>
    <row r="10" spans="1:7" ht="15" thickTop="1" x14ac:dyDescent="0.3">
      <c r="A10" s="404" t="str">
        <f>'Camp Costing Calculator'!B13</f>
        <v>Meal Prices</v>
      </c>
      <c r="B10" s="404"/>
      <c r="D10" s="147" t="s">
        <v>20</v>
      </c>
      <c r="E10" s="405" t="s">
        <v>70</v>
      </c>
      <c r="F10" s="405"/>
    </row>
    <row r="11" spans="1:7" x14ac:dyDescent="0.3">
      <c r="D11" s="154" t="str">
        <f>IF('Camp Costing Calculator'!M6="-","-",IF('Camp Costing Calculator'!M6="Non-state",D12/1.1,IF('Camp Costing Calculator'!M6="State","-",)))</f>
        <v>-</v>
      </c>
      <c r="E11" s="438" t="str">
        <f>IF('Camp Costing Calculator'!M6="-","-",IF('Camp Costing Calculator'!M6="Non-state",E12/1.1,IF('Camp Costing Calculator'!M6="State","-",)))</f>
        <v>-</v>
      </c>
      <c r="F11" s="439"/>
      <c r="G11" t="s">
        <v>107</v>
      </c>
    </row>
    <row r="12" spans="1:7" x14ac:dyDescent="0.3">
      <c r="D12" s="157" t="str">
        <f>IF('Camp Costing Calculator'!M6="-","-",IF('Camp Costing Calculator'!M6="Non-state",'Camp Costing Calculator'!L47,IF('Camp Costing Calculator'!M6="State","-",)))</f>
        <v>-</v>
      </c>
      <c r="E12" s="438" t="str">
        <f>IF('Camp Costing Calculator'!M6="-","-",IF('Camp Costing Calculator'!M6="Non-state",'Camp Costing Calculator'!M47,IF('Camp Costing Calculator'!M6="State","-",)))</f>
        <v>-</v>
      </c>
      <c r="F12" s="439"/>
      <c r="G12" t="s">
        <v>108</v>
      </c>
    </row>
    <row r="13" spans="1:7" ht="15" thickBot="1" x14ac:dyDescent="0.35">
      <c r="A13" s="119"/>
      <c r="B13" s="119"/>
      <c r="C13" s="119"/>
      <c r="D13" s="119"/>
      <c r="E13" s="415" t="str">
        <f>IF(OR(D32="-",D32=0),"","(includes anomaly figure)")</f>
        <v/>
      </c>
      <c r="F13" s="415"/>
      <c r="G13" s="159"/>
    </row>
    <row r="14" spans="1:7" ht="15" thickTop="1" x14ac:dyDescent="0.3">
      <c r="A14" s="400" t="str">
        <f>'Camp Costing Calculator'!B49</f>
        <v>T-Shirts</v>
      </c>
      <c r="B14" s="401"/>
      <c r="D14" s="147" t="s">
        <v>20</v>
      </c>
      <c r="E14" s="405" t="s">
        <v>70</v>
      </c>
      <c r="F14" s="405"/>
    </row>
    <row r="15" spans="1:7" x14ac:dyDescent="0.3">
      <c r="D15" s="154" t="str">
        <f>IF('Camp Costing Calculator'!M6="-","-",IF('Camp Costing Calculator'!M6="Non-state",D16/1.1,IF('Camp Costing Calculator'!M6="State","-",)))</f>
        <v>-</v>
      </c>
      <c r="E15" s="436" t="str">
        <f>IF('Camp Costing Calculator'!M6="-","-",IF('Camp Costing Calculator'!M6="Non-state",E16/1.1,IF('Camp Costing Calculator'!M6="State","-",)))</f>
        <v>-</v>
      </c>
      <c r="F15" s="437"/>
      <c r="G15" t="s">
        <v>107</v>
      </c>
    </row>
    <row r="16" spans="1:7" x14ac:dyDescent="0.3">
      <c r="D16" s="157" t="str">
        <f>IF('Camp Costing Calculator'!M6="-","-",IF('Camp Costing Calculator'!M6="Non-state",'Camp Costing Calculator'!L51,IF('Camp Costing Calculator'!M6="State","-",)))</f>
        <v>-</v>
      </c>
      <c r="E16" s="436" t="str">
        <f>IF('Camp Costing Calculator'!M6="-","-",IF('Camp Costing Calculator'!M6="Non-state",'Camp Costing Calculator'!M51,IF('Camp Costing Calculator'!M6="State","-",)))</f>
        <v>-</v>
      </c>
      <c r="F16" s="437"/>
      <c r="G16" t="s">
        <v>108</v>
      </c>
    </row>
    <row r="17" spans="1:7" ht="15" thickBot="1" x14ac:dyDescent="0.35">
      <c r="A17" s="119"/>
      <c r="B17" s="119"/>
      <c r="C17" s="119"/>
      <c r="D17" s="119"/>
      <c r="E17" s="180"/>
      <c r="F17" s="180"/>
    </row>
    <row r="18" spans="1:7" ht="15" thickTop="1" x14ac:dyDescent="0.3">
      <c r="A18" s="400" t="str">
        <f>'Camp Costing Calculator'!B53</f>
        <v>Boating</v>
      </c>
      <c r="B18" s="401"/>
      <c r="C18" s="164"/>
      <c r="D18" s="147" t="s">
        <v>20</v>
      </c>
      <c r="E18" s="404" t="s">
        <v>70</v>
      </c>
      <c r="F18" s="404"/>
    </row>
    <row r="19" spans="1:7" x14ac:dyDescent="0.3">
      <c r="D19" s="154" t="str">
        <f>IF('Camp Costing Calculator'!M6="-","-",IF('Camp Costing Calculator'!M6="Non-state",D20/1.1,IF('Camp Costing Calculator'!M6="State","-",)))</f>
        <v>-</v>
      </c>
      <c r="E19" s="436" t="str">
        <f>IF('Camp Costing Calculator'!M6="-","-",IF('Camp Costing Calculator'!M6="Non-state",E20/1.1,IF('Camp Costing Calculator'!M6="State","-",)))</f>
        <v>-</v>
      </c>
      <c r="F19" s="437"/>
      <c r="G19" t="s">
        <v>107</v>
      </c>
    </row>
    <row r="20" spans="1:7" x14ac:dyDescent="0.3">
      <c r="D20" s="157" t="str">
        <f>IF('Camp Costing Calculator'!M6="-","-",IF('Camp Costing Calculator'!M6="Non-state",'Camp Costing Calculator'!L67,IF('Camp Costing Calculator'!M6="State","-",)))</f>
        <v>-</v>
      </c>
      <c r="E20" s="436" t="str">
        <f>IF('Camp Costing Calculator'!M6="-","-",IF('Camp Costing Calculator'!M6="Non-state",'Camp Costing Calculator'!M67,IF('Camp Costing Calculator'!M6="State","-",)))</f>
        <v>-</v>
      </c>
      <c r="F20" s="437"/>
      <c r="G20" t="s">
        <v>108</v>
      </c>
    </row>
    <row r="21" spans="1:7" ht="15" thickBot="1" x14ac:dyDescent="0.35">
      <c r="A21" s="119"/>
      <c r="B21" s="119"/>
      <c r="C21" s="119"/>
      <c r="D21" s="119"/>
      <c r="E21" s="415" t="str">
        <f>IF(OR(D33="-",D33=0),"","(includes anomaly figure)")</f>
        <v/>
      </c>
      <c r="F21" s="415"/>
      <c r="G21" s="159"/>
    </row>
    <row r="22" spans="1:7" ht="15" thickTop="1" x14ac:dyDescent="0.3">
      <c r="A22" s="400" t="str">
        <f>'Camp Costing Calculator'!B69</f>
        <v>Climbing</v>
      </c>
      <c r="B22" s="401"/>
      <c r="C22" s="164"/>
      <c r="D22" s="118" t="s">
        <v>10</v>
      </c>
      <c r="E22" s="400" t="s">
        <v>70</v>
      </c>
      <c r="F22" s="401"/>
    </row>
    <row r="23" spans="1:7" x14ac:dyDescent="0.3">
      <c r="B23" s="151"/>
      <c r="C23" s="152"/>
      <c r="D23" s="154" t="str">
        <f>IF('Camp Costing Calculator'!M6="-","-",IF('Camp Costing Calculator'!M6="Non-state",D24/1.1,IF('Camp Costing Calculator'!M6="State","-",)))</f>
        <v>-</v>
      </c>
      <c r="E23" s="436" t="str">
        <f>IF('Camp Costing Calculator'!M6="-","-",IF('Camp Costing Calculator'!M6="Non-state",E24/1.1,IF('Camp Costing Calculator'!M6="State","-",)))</f>
        <v>-</v>
      </c>
      <c r="F23" s="437"/>
      <c r="G23" t="s">
        <v>107</v>
      </c>
    </row>
    <row r="24" spans="1:7" x14ac:dyDescent="0.3">
      <c r="B24" s="151"/>
      <c r="C24" s="151"/>
      <c r="D24" s="157" t="str">
        <f>IF('Camp Costing Calculator'!M6="-","-",IF('Camp Costing Calculator'!M6="State","-",IF(AND('Camp Costing Calculator'!M6="Non-state",'Camp Costing Calculator'!L75&gt;0),'Camp Costing Calculator'!L75,IF(AND('Camp Costing Calculator'!M6="Non-state",'Camp Costing Calculator'!L76&gt;0),'Camp Costing Calculator'!L76,IF(AND('Camp Costing Calculator'!M6="Non-state",'Camp Costing Calculator'!L77&gt;0),'Camp Costing Calculator'!L77,0)))))</f>
        <v>-</v>
      </c>
      <c r="E24" s="436" t="str">
        <f>IF('Camp Costing Calculator'!M6="-","-",IF('Camp Costing Calculator'!M6="State","-",IF('Camp Costing Calculator'!M6="Non-state",'Camp Costing Calculator'!M77,)))</f>
        <v>-</v>
      </c>
      <c r="F24" s="437"/>
      <c r="G24" t="s">
        <v>108</v>
      </c>
    </row>
    <row r="25" spans="1:7" ht="15" thickBot="1" x14ac:dyDescent="0.35">
      <c r="A25" s="119"/>
      <c r="B25" s="119"/>
      <c r="C25" s="119"/>
      <c r="D25" s="119"/>
      <c r="E25" s="415" t="str">
        <f>IF(OR(D34="-",D34=0),"","(includes anomaly figure)")</f>
        <v/>
      </c>
      <c r="F25" s="415"/>
      <c r="G25" s="159"/>
    </row>
    <row r="26" spans="1:7" ht="15" thickTop="1" x14ac:dyDescent="0.3">
      <c r="A26" s="404" t="str">
        <f>'Camp Costing Calculator'!B79</f>
        <v>Photography</v>
      </c>
      <c r="B26" s="404"/>
      <c r="D26" s="147" t="s">
        <v>10</v>
      </c>
      <c r="E26" s="405" t="s">
        <v>70</v>
      </c>
      <c r="F26" s="405"/>
    </row>
    <row r="27" spans="1:7" x14ac:dyDescent="0.3">
      <c r="D27" s="154" t="str">
        <f>IF('Camp Costing Calculator'!M6="-","-",IF('Camp Costing Calculator'!M6="Non-state",D28/1.1,IF('Camp Costing Calculator'!M6="State","-",)))</f>
        <v>-</v>
      </c>
      <c r="E27" s="436" t="str">
        <f>IF('Camp Costing Calculator'!M6="-","-",IF('Camp Costing Calculator'!M6="Non-state",E28/1.1,IF('Camp Costing Calculator'!M6="State","-",)))</f>
        <v>-</v>
      </c>
      <c r="F27" s="437"/>
      <c r="G27" t="s">
        <v>107</v>
      </c>
    </row>
    <row r="28" spans="1:7" x14ac:dyDescent="0.3">
      <c r="D28" s="154" t="str">
        <f>IF('Camp Costing Calculator'!M6="-","-",IF('Camp Costing Calculator'!M6="Non-state",'Camp Costing Calculator'!L81,IF('Camp Costing Calculator'!M6="State","-",)))</f>
        <v>-</v>
      </c>
      <c r="E28" s="436" t="str">
        <f>IF('Camp Costing Calculator'!M6="-","-",IF('Camp Costing Calculator'!M6="Non-state",'Camp Costing Calculator'!M81,IF('Camp Costing Calculator'!M6="State","-",)))</f>
        <v>-</v>
      </c>
      <c r="F28" s="437"/>
      <c r="G28" t="s">
        <v>108</v>
      </c>
    </row>
    <row r="29" spans="1:7" ht="15" customHeight="1" thickBot="1" x14ac:dyDescent="0.35">
      <c r="A29" s="119"/>
      <c r="B29" s="119"/>
      <c r="C29" s="119"/>
      <c r="D29" s="149"/>
      <c r="E29" s="416" t="str">
        <f>IF(OR(D35="-",D35=0),"","(includes anomaly figure)")</f>
        <v/>
      </c>
      <c r="F29" s="416"/>
      <c r="G29" s="160"/>
    </row>
    <row r="30" spans="1:7" ht="15" thickTop="1" x14ac:dyDescent="0.3">
      <c r="A30" s="404" t="s">
        <v>83</v>
      </c>
      <c r="B30" s="404"/>
      <c r="D30" s="406" t="s">
        <v>33</v>
      </c>
      <c r="E30" s="406"/>
      <c r="F30" s="451" t="s">
        <v>111</v>
      </c>
    </row>
    <row r="31" spans="1:7" x14ac:dyDescent="0.3">
      <c r="B31" s="410" t="s">
        <v>84</v>
      </c>
      <c r="C31" s="409"/>
      <c r="D31" s="407" t="str">
        <f>IF('Camp Costing Calculator'!M6="-","-",IF('Camp Costing Calculator'!M6="Non-State",'Camp Costing Calculator'!L106,IF('Camp Costing Calculator'!M6="State","-",)))</f>
        <v>-</v>
      </c>
      <c r="E31" s="407"/>
      <c r="F31" s="452"/>
    </row>
    <row r="32" spans="1:7" x14ac:dyDescent="0.3">
      <c r="B32" s="408" t="s">
        <v>85</v>
      </c>
      <c r="C32" s="409"/>
      <c r="D32" s="407" t="str">
        <f>IF('Camp Costing Calculator'!M6="-","-",IF('Camp Costing Calculator'!M6="Non-state",'Camp Costing Calculator'!L107,IF('Camp Costing Calculator'!M6="State","-",)))</f>
        <v>-</v>
      </c>
      <c r="E32" s="407"/>
      <c r="F32" s="452"/>
    </row>
    <row r="33" spans="1:9" x14ac:dyDescent="0.3">
      <c r="B33" s="408" t="s">
        <v>32</v>
      </c>
      <c r="C33" s="409"/>
      <c r="D33" s="407" t="str">
        <f>IF('Camp Costing Calculator'!M6="-","-",IF('Camp Costing Calculator'!M6="Non-state",'Camp Costing Calculator'!L108,IF('Camp Costing Calculator'!M6="State","-",)))</f>
        <v>-</v>
      </c>
      <c r="E33" s="407"/>
      <c r="F33" s="452"/>
    </row>
    <row r="34" spans="1:9" x14ac:dyDescent="0.3">
      <c r="B34" s="408" t="s">
        <v>35</v>
      </c>
      <c r="C34" s="409"/>
      <c r="D34" s="407" t="str">
        <f>IF('Camp Costing Calculator'!M6="-","-",IF('Camp Costing Calculator'!M6="Non-state",'Camp Costing Calculator'!L109,IF('Camp Costing Calculator'!M6="State","-",)))</f>
        <v>-</v>
      </c>
      <c r="E34" s="407"/>
      <c r="F34" s="452"/>
      <c r="I34" s="114"/>
    </row>
    <row r="35" spans="1:9" x14ac:dyDescent="0.3">
      <c r="B35" s="408" t="s">
        <v>48</v>
      </c>
      <c r="C35" s="409"/>
      <c r="D35" s="407" t="str">
        <f>IF('Camp Costing Calculator'!M6="-","-",IF('Camp Costing Calculator'!M6="Non-state",'Camp Costing Calculator'!L110,IF('Camp Costing Calculator'!M6="State","-",)))</f>
        <v>-</v>
      </c>
      <c r="E35" s="407"/>
      <c r="F35" s="453"/>
    </row>
    <row r="36" spans="1:9" ht="15" thickBot="1" x14ac:dyDescent="0.35">
      <c r="A36" s="119"/>
      <c r="B36" s="119"/>
      <c r="C36" s="119"/>
      <c r="D36" s="149"/>
      <c r="E36" s="149"/>
      <c r="F36" s="163"/>
    </row>
    <row r="37" spans="1:9" ht="15.6" thickTop="1" thickBot="1" x14ac:dyDescent="0.35">
      <c r="A37" s="442" t="s">
        <v>67</v>
      </c>
      <c r="B37" s="443"/>
      <c r="C37" s="444"/>
      <c r="E37" s="456" t="s">
        <v>70</v>
      </c>
      <c r="F37" s="457"/>
    </row>
    <row r="38" spans="1:9" ht="15.6" customHeight="1" thickTop="1" thickBot="1" x14ac:dyDescent="0.35">
      <c r="A38" s="445"/>
      <c r="B38" s="446"/>
      <c r="C38" s="447"/>
      <c r="D38" s="155"/>
      <c r="E38" s="440" t="str">
        <f>IF('Camp Costing Calculator'!M6="-","-",IF('Camp Costing Calculator'!M6="State","-",IF('Camp Costing Calculator'!M6="Non-state",E39/1.1,)))</f>
        <v>-</v>
      </c>
      <c r="F38" s="441"/>
      <c r="G38" t="s">
        <v>107</v>
      </c>
    </row>
    <row r="39" spans="1:9" ht="15.6" thickTop="1" thickBot="1" x14ac:dyDescent="0.35">
      <c r="A39" s="448"/>
      <c r="B39" s="449"/>
      <c r="C39" s="450"/>
      <c r="D39" s="155"/>
      <c r="E39" s="440" t="str">
        <f>IF('Camp Costing Calculator'!M6="-","-",IF('Camp Costing Calculator'!M6="State","-",IF('Camp Costing Calculator'!M6="Non-state",'Camp Costing Calculator'!M114,)))</f>
        <v>-</v>
      </c>
      <c r="F39" s="441"/>
      <c r="G39" t="s">
        <v>108</v>
      </c>
    </row>
    <row r="40" spans="1:9" ht="15.6" thickTop="1" thickBot="1" x14ac:dyDescent="0.35">
      <c r="E40" s="150"/>
      <c r="F40" s="135"/>
    </row>
    <row r="41" spans="1:9" ht="15.6" customHeight="1" thickTop="1" x14ac:dyDescent="0.3">
      <c r="A41" s="417" t="s">
        <v>90</v>
      </c>
      <c r="B41" s="418"/>
      <c r="C41" s="418"/>
      <c r="D41" s="418"/>
      <c r="E41" s="418"/>
      <c r="F41" s="419"/>
    </row>
    <row r="42" spans="1:9" ht="15" thickBot="1" x14ac:dyDescent="0.35">
      <c r="A42" s="420"/>
      <c r="B42" s="421"/>
      <c r="C42" s="421"/>
      <c r="D42" s="421"/>
      <c r="E42" s="421"/>
      <c r="F42" s="422"/>
    </row>
    <row r="43" spans="1:9" ht="15.6" thickTop="1" thickBot="1" x14ac:dyDescent="0.35">
      <c r="E43" s="114"/>
      <c r="F43" s="114"/>
    </row>
    <row r="44" spans="1:9" ht="15.6" thickTop="1" thickBot="1" x14ac:dyDescent="0.35">
      <c r="A44" s="423" t="s">
        <v>89</v>
      </c>
      <c r="B44" s="424"/>
      <c r="C44" s="425"/>
      <c r="E44" s="429" t="s">
        <v>70</v>
      </c>
      <c r="F44" s="430"/>
    </row>
    <row r="45" spans="1:9" ht="15.6" thickTop="1" thickBot="1" x14ac:dyDescent="0.35">
      <c r="A45" s="426"/>
      <c r="B45" s="427"/>
      <c r="C45" s="428"/>
      <c r="E45" s="431" t="str">
        <f>IF('Camp Costing Calculator'!M6="-","-",IF('Camp Costing Calculator'!M6="State","-",IF('Camp Costing Calculator'!M6="Non-state",'Camp Costing Calculator'!M124)))</f>
        <v>-</v>
      </c>
      <c r="F45" s="432"/>
    </row>
    <row r="46" spans="1:9" ht="15" thickTop="1" x14ac:dyDescent="0.3"/>
  </sheetData>
  <sheetProtection algorithmName="SHA-512" hashValue="20NoaCDEjOa5zul0Z/eG+4UTSQ7wWg2tphfhxFeOdjhJIR7HmivMzFMGIJdVCpaDoLlrYqQECkhQGGZbKC0WOw==" saltValue="UbNyD4sQvQwG1DHX1Wby1w==" spinCount="100000" sheet="1" selectLockedCells="1" selectUnlockedCells="1"/>
  <mergeCells count="52">
    <mergeCell ref="A44:C45"/>
    <mergeCell ref="E44:F44"/>
    <mergeCell ref="E45:F45"/>
    <mergeCell ref="E27:F27"/>
    <mergeCell ref="E22:F22"/>
    <mergeCell ref="E23:F23"/>
    <mergeCell ref="A26:B26"/>
    <mergeCell ref="E26:F26"/>
    <mergeCell ref="E24:F24"/>
    <mergeCell ref="D34:E34"/>
    <mergeCell ref="B35:C35"/>
    <mergeCell ref="D35:E35"/>
    <mergeCell ref="A30:B30"/>
    <mergeCell ref="E28:F28"/>
    <mergeCell ref="A41:F42"/>
    <mergeCell ref="E37:F37"/>
    <mergeCell ref="A1:C1"/>
    <mergeCell ref="E1:F1"/>
    <mergeCell ref="E7:F7"/>
    <mergeCell ref="A10:B10"/>
    <mergeCell ref="E10:F10"/>
    <mergeCell ref="E8:F8"/>
    <mergeCell ref="E6:F6"/>
    <mergeCell ref="A6:B6"/>
    <mergeCell ref="E9:F9"/>
    <mergeCell ref="E38:F38"/>
    <mergeCell ref="A37:C39"/>
    <mergeCell ref="E39:F39"/>
    <mergeCell ref="D30:E30"/>
    <mergeCell ref="F30:F35"/>
    <mergeCell ref="B31:C31"/>
    <mergeCell ref="D31:E31"/>
    <mergeCell ref="B32:C32"/>
    <mergeCell ref="D32:E32"/>
    <mergeCell ref="B33:C33"/>
    <mergeCell ref="D33:E33"/>
    <mergeCell ref="B34:C34"/>
    <mergeCell ref="E11:F11"/>
    <mergeCell ref="E14:F14"/>
    <mergeCell ref="E15:F15"/>
    <mergeCell ref="E18:F18"/>
    <mergeCell ref="E19:F19"/>
    <mergeCell ref="E12:F12"/>
    <mergeCell ref="E16:F16"/>
    <mergeCell ref="E13:F13"/>
    <mergeCell ref="E29:F29"/>
    <mergeCell ref="E25:F25"/>
    <mergeCell ref="E21:F21"/>
    <mergeCell ref="A14:B14"/>
    <mergeCell ref="A18:B18"/>
    <mergeCell ref="A22:B22"/>
    <mergeCell ref="E20:F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624DC5A157948B2F8DA9090FBD03E" ma:contentTypeVersion="12" ma:contentTypeDescription="Create a new document." ma:contentTypeScope="" ma:versionID="38284e87dce77c036233d5d275bee303">
  <xsd:schema xmlns:xsd="http://www.w3.org/2001/XMLSchema" xmlns:xs="http://www.w3.org/2001/XMLSchema" xmlns:p="http://schemas.microsoft.com/office/2006/metadata/properties" xmlns:ns1="http://schemas.microsoft.com/sharepoint/v3" xmlns:ns2="fd79d500-426f-4b83-b4a1-1e2c3ec74fbe" targetNamespace="http://schemas.microsoft.com/office/2006/metadata/properties" ma:root="true" ma:fieldsID="a89c2561f9334c2a7ff68c46435b8896" ns1:_="" ns2:_="">
    <xsd:import namespace="http://schemas.microsoft.com/sharepoint/v3"/>
    <xsd:import namespace="fd79d500-426f-4b83-b4a1-1e2c3ec74fb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9d500-426f-4b83-b4a1-1e2c3ec74fbe" elementFormDefault="qualified">
    <xsd:import namespace="http://schemas.microsoft.com/office/2006/documentManagement/types"/>
    <xsd:import namespace="http://schemas.microsoft.com/office/infopath/2007/PartnerControls"/>
    <xsd:element name="PPContentOwner" ma:index="10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11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2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3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4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5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6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7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8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19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20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21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PReferenceNumber xmlns="fd79d500-426f-4b83-b4a1-1e2c3ec74fbe" xsi:nil="true"/>
    <PPContentOwner xmlns="fd79d500-426f-4b83-b4a1-1e2c3ec74fbe">
      <UserInfo>
        <DisplayName>CUTULI, Stephen</DisplayName>
        <AccountId>27</AccountId>
        <AccountType/>
      </UserInfo>
    </PPContentOwner>
    <PPSubmittedBy xmlns="fd79d500-426f-4b83-b4a1-1e2c3ec74fbe">
      <UserInfo>
        <DisplayName>CUTULI, Stephen</DisplayName>
        <AccountId>27</AccountId>
        <AccountType/>
      </UserInfo>
    </PPSubmittedBy>
    <PPModeratedDate xmlns="fd79d500-426f-4b83-b4a1-1e2c3ec74fbe">2023-08-04T04:23:30+00:00</PPModeratedDate>
    <PPLastReviewedDate xmlns="fd79d500-426f-4b83-b4a1-1e2c3ec74fbe">2023-08-04T04:23:30+00:00</PPLastReviewedDate>
    <PPModeratedBy xmlns="fd79d500-426f-4b83-b4a1-1e2c3ec74fbe">
      <UserInfo>
        <DisplayName>CUTULI, Stephen</DisplayName>
        <AccountId>27</AccountId>
        <AccountType/>
      </UserInfo>
    </PPModeratedBy>
    <PPContentApprover xmlns="fd79d500-426f-4b83-b4a1-1e2c3ec74fbe">
      <UserInfo>
        <DisplayName>CUTULI, Stephen</DisplayName>
        <AccountId>27</AccountId>
        <AccountType/>
      </UserInfo>
    </PPContentApprover>
    <PPSubmittedDate xmlns="fd79d500-426f-4b83-b4a1-1e2c3ec74fbe">2023-08-04T04:22:38+00:00</PPSubmittedDate>
    <PublishingExpirationDate xmlns="http://schemas.microsoft.com/sharepoint/v3" xsi:nil="true"/>
    <PPPublishedNotificationAddresses xmlns="fd79d500-426f-4b83-b4a1-1e2c3ec74fbe" xsi:nil="true"/>
    <PPLastReviewedBy xmlns="fd79d500-426f-4b83-b4a1-1e2c3ec74fbe">
      <UserInfo>
        <DisplayName>CUTULI, Stephen</DisplayName>
        <AccountId>27</AccountId>
        <AccountType/>
      </UserInfo>
    </PPLastReviewedBy>
    <PublishingStartDate xmlns="http://schemas.microsoft.com/sharepoint/v3" xsi:nil="true"/>
    <PPContentAuthor xmlns="fd79d500-426f-4b83-b4a1-1e2c3ec74fbe">
      <UserInfo>
        <DisplayName>CUTULI, Stephen</DisplayName>
        <AccountId>27</AccountId>
        <AccountType/>
      </UserInfo>
    </PPContentAuthor>
    <PPReviewDate xmlns="fd79d500-426f-4b83-b4a1-1e2c3ec74fbe" xsi:nil="true"/>
  </documentManagement>
</p:properties>
</file>

<file path=customXml/itemProps1.xml><?xml version="1.0" encoding="utf-8"?>
<ds:datastoreItem xmlns:ds="http://schemas.openxmlformats.org/officeDocument/2006/customXml" ds:itemID="{F259CE2F-2C04-49CB-8A55-6ADE0AC92D28}"/>
</file>

<file path=customXml/itemProps2.xml><?xml version="1.0" encoding="utf-8"?>
<ds:datastoreItem xmlns:ds="http://schemas.openxmlformats.org/officeDocument/2006/customXml" ds:itemID="{C6E6BC2F-A161-4D5B-8E91-711E29CBA607}"/>
</file>

<file path=customXml/itemProps3.xml><?xml version="1.0" encoding="utf-8"?>
<ds:datastoreItem xmlns:ds="http://schemas.openxmlformats.org/officeDocument/2006/customXml" ds:itemID="{D78970A7-1EA1-4581-B8EB-8B1395C00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Camp Costing Calculator</vt:lpstr>
      <vt:lpstr>STATE school - Cost summary</vt:lpstr>
      <vt:lpstr>NON-STATE school - Cost summary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Calculator - Primary Students - 2024</dc:title>
  <dc:creator>CUTULI, Stephen</dc:creator>
  <cp:lastModifiedBy>CUTULI, Stephen</cp:lastModifiedBy>
  <cp:lastPrinted>2020-06-11T05:05:10Z</cp:lastPrinted>
  <dcterms:created xsi:type="dcterms:W3CDTF">2018-02-26T00:18:43Z</dcterms:created>
  <dcterms:modified xsi:type="dcterms:W3CDTF">2023-08-04T03:55:06Z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0x01010075C624DC5A157948B2F8DA9090FBD03E</vt:lpwstr>
  </property>
</Properties>
</file>